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My Drive\IEPIRKUMU_LIETAS\VNP2026_075B_Pansionāta Valmieras zāles energoef.paaugstināšana\"/>
    </mc:Choice>
  </mc:AlternateContent>
  <xr:revisionPtr revIDLastSave="0" documentId="13_ncr:1_{16B00154-32DA-4AA3-B449-0BA0BB7B08A2}" xr6:coauthVersionLast="47" xr6:coauthVersionMax="47" xr10:uidLastSave="{00000000-0000-0000-0000-000000000000}"/>
  <bookViews>
    <workbookView xWindow="-23148" yWindow="-156" windowWidth="23256" windowHeight="12456" xr2:uid="{00000000-000D-0000-FFFF-FFFF00000000}"/>
  </bookViews>
  <sheets>
    <sheet name="Energoefektivitāte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  <c r="D15" i="1"/>
  <c r="D326" i="1"/>
  <c r="D323" i="1"/>
  <c r="D324" i="1" s="1"/>
  <c r="D311" i="1"/>
  <c r="D310" i="1"/>
  <c r="D309" i="1"/>
  <c r="D289" i="1"/>
  <c r="D288" i="1"/>
  <c r="D297" i="1" s="1"/>
  <c r="D300" i="1"/>
  <c r="D301" i="1" s="1"/>
  <c r="D303" i="1" s="1"/>
  <c r="D306" i="1" s="1"/>
  <c r="D299" i="1"/>
  <c r="D307" i="1" s="1"/>
  <c r="D240" i="1"/>
  <c r="D239" i="1"/>
  <c r="D238" i="1"/>
  <c r="D236" i="1"/>
  <c r="D21" i="1"/>
  <c r="D20" i="1"/>
  <c r="D22" i="1"/>
  <c r="D18" i="1"/>
  <c r="D327" i="1" l="1"/>
  <c r="D312" i="1"/>
  <c r="D314" i="1" s="1"/>
  <c r="D318" i="1"/>
  <c r="D302" i="1"/>
  <c r="D304" i="1"/>
  <c r="D305" i="1"/>
  <c r="D237" i="1"/>
  <c r="D19" i="1"/>
  <c r="D313" i="1" l="1"/>
  <c r="D317" i="1"/>
  <c r="D316" i="1"/>
  <c r="D315" i="1"/>
  <c r="D34" i="1" l="1"/>
  <c r="D32" i="1"/>
  <c r="D277" i="1"/>
  <c r="D276" i="1"/>
  <c r="D286" i="1"/>
  <c r="D285" i="1"/>
  <c r="D283" i="1"/>
  <c r="D270" i="1"/>
  <c r="D267" i="1"/>
  <c r="D190" i="1"/>
  <c r="D191" i="1" s="1"/>
  <c r="D257" i="1"/>
  <c r="D256" i="1"/>
  <c r="D254" i="1"/>
  <c r="D248" i="1"/>
  <c r="D251" i="1" s="1"/>
  <c r="D241" i="1"/>
  <c r="D232" i="1"/>
  <c r="D234" i="1" s="1"/>
  <c r="D227" i="1"/>
  <c r="D230" i="1"/>
  <c r="D229" i="1"/>
  <c r="D226" i="1"/>
  <c r="D72" i="1"/>
  <c r="D64" i="1"/>
  <c r="D161" i="1"/>
  <c r="D164" i="1" s="1"/>
  <c r="D156" i="1"/>
  <c r="D153" i="1"/>
  <c r="D266" i="1"/>
  <c r="D244" i="1"/>
  <c r="D245" i="1" s="1"/>
  <c r="D243" i="1"/>
  <c r="D223" i="1"/>
  <c r="D207" i="1"/>
  <c r="D210" i="1" s="1"/>
  <c r="D205" i="1"/>
  <c r="D206" i="1" s="1"/>
  <c r="D109" i="1"/>
  <c r="D202" i="1"/>
  <c r="D199" i="1"/>
  <c r="D200" i="1" s="1"/>
  <c r="D193" i="1"/>
  <c r="D194" i="1" s="1"/>
  <c r="D178" i="1"/>
  <c r="D196" i="1"/>
  <c r="D189" i="1"/>
  <c r="D188" i="1"/>
  <c r="D187" i="1"/>
  <c r="D186" i="1"/>
  <c r="D181" i="1"/>
  <c r="D177" i="1"/>
  <c r="D176" i="1"/>
  <c r="D166" i="1"/>
  <c r="D138" i="1"/>
  <c r="D123" i="1"/>
  <c r="D120" i="1"/>
  <c r="D144" i="1"/>
  <c r="D95" i="1"/>
  <c r="D96" i="1" s="1"/>
  <c r="D142" i="1"/>
  <c r="D143" i="1" s="1"/>
  <c r="D140" i="1"/>
  <c r="D130" i="1"/>
  <c r="D128" i="1"/>
  <c r="D126" i="1"/>
  <c r="D160" i="1"/>
  <c r="D150" i="1"/>
  <c r="D148" i="1"/>
  <c r="D122" i="1"/>
  <c r="D119" i="1"/>
  <c r="D118" i="1"/>
  <c r="D121" i="1" s="1"/>
  <c r="D117" i="1"/>
  <c r="D115" i="1"/>
  <c r="D113" i="1"/>
  <c r="D116" i="1" s="1"/>
  <c r="D106" i="1"/>
  <c r="D103" i="1"/>
  <c r="D101" i="1"/>
  <c r="D97" i="1"/>
  <c r="D104" i="1" s="1"/>
  <c r="D91" i="1"/>
  <c r="D83" i="1"/>
  <c r="D84" i="1" s="1"/>
  <c r="D88" i="1" s="1"/>
  <c r="D89" i="1" s="1"/>
  <c r="D82" i="1"/>
  <c r="D252" i="1" l="1"/>
  <c r="D290" i="1"/>
  <c r="D292" i="1" s="1"/>
  <c r="D278" i="1"/>
  <c r="D268" i="1"/>
  <c r="D249" i="1"/>
  <c r="D258" i="1"/>
  <c r="D284" i="1"/>
  <c r="D280" i="1"/>
  <c r="D255" i="1"/>
  <c r="D242" i="1"/>
  <c r="D235" i="1"/>
  <c r="D228" i="1"/>
  <c r="D231" i="1"/>
  <c r="D233" i="1"/>
  <c r="D197" i="1"/>
  <c r="D179" i="1"/>
  <c r="D192" i="1"/>
  <c r="D201" i="1"/>
  <c r="D208" i="1"/>
  <c r="D211" i="1"/>
  <c r="D203" i="1"/>
  <c r="D213" i="1"/>
  <c r="D209" i="1"/>
  <c r="D175" i="1"/>
  <c r="D127" i="1"/>
  <c r="D124" i="1"/>
  <c r="D141" i="1"/>
  <c r="D162" i="1"/>
  <c r="D165" i="1"/>
  <c r="D167" i="1"/>
  <c r="D169" i="1" s="1"/>
  <c r="D163" i="1"/>
  <c r="D145" i="1"/>
  <c r="D154" i="1"/>
  <c r="D131" i="1"/>
  <c r="D151" i="1"/>
  <c r="D157" i="1"/>
  <c r="D110" i="1"/>
  <c r="D111" i="1" s="1"/>
  <c r="D98" i="1"/>
  <c r="D105" i="1"/>
  <c r="D107" i="1"/>
  <c r="D108" i="1" s="1"/>
  <c r="D94" i="1"/>
  <c r="D85" i="1"/>
  <c r="D281" i="1" l="1"/>
  <c r="D293" i="1"/>
  <c r="D253" i="1"/>
  <c r="D291" i="1"/>
  <c r="D272" i="1"/>
  <c r="D269" i="1"/>
  <c r="D282" i="1"/>
  <c r="D198" i="1"/>
  <c r="D168" i="1"/>
  <c r="D180" i="1"/>
  <c r="D183" i="1"/>
  <c r="D214" i="1"/>
  <c r="D215" i="1"/>
  <c r="D204" i="1"/>
  <c r="D170" i="1"/>
  <c r="D135" i="1"/>
  <c r="D132" i="1"/>
  <c r="D152" i="1"/>
  <c r="D146" i="1"/>
  <c r="D155" i="1"/>
  <c r="D158" i="1"/>
  <c r="D99" i="1"/>
  <c r="D81" i="1"/>
  <c r="D65" i="1"/>
  <c r="D58" i="1"/>
  <c r="D59" i="1" s="1"/>
  <c r="D55" i="1"/>
  <c r="D56" i="1" s="1"/>
  <c r="D53" i="1"/>
  <c r="D54" i="1" s="1"/>
  <c r="D51" i="1"/>
  <c r="D48" i="1"/>
  <c r="D46" i="1"/>
  <c r="D47" i="1" s="1"/>
  <c r="D43" i="1"/>
  <c r="D42" i="1"/>
  <c r="D37" i="1"/>
  <c r="D35" i="1"/>
  <c r="D36" i="1" s="1"/>
  <c r="D30" i="1"/>
  <c r="D26" i="1"/>
  <c r="D27" i="1" s="1"/>
  <c r="D25" i="1"/>
  <c r="D23" i="1"/>
  <c r="D24" i="1" s="1"/>
  <c r="D295" i="1" l="1"/>
  <c r="D296" i="1"/>
  <c r="D294" i="1"/>
  <c r="D273" i="1"/>
  <c r="D184" i="1"/>
  <c r="D216" i="1"/>
  <c r="D171" i="1"/>
  <c r="D136" i="1"/>
  <c r="D67" i="1"/>
  <c r="D68" i="1" s="1"/>
  <c r="D80" i="1"/>
  <c r="D60" i="1"/>
  <c r="D74" i="1"/>
  <c r="D217" i="1" l="1"/>
  <c r="D40" i="1"/>
  <c r="D44" i="1"/>
  <c r="D45" i="1" s="1"/>
  <c r="D13" i="1"/>
  <c r="D33" i="1" l="1"/>
  <c r="D39" i="1"/>
  <c r="D38" i="1"/>
  <c r="D52" i="1"/>
  <c r="D49" i="1"/>
  <c r="D50" i="1" l="1"/>
</calcChain>
</file>

<file path=xl/sharedStrings.xml><?xml version="1.0" encoding="utf-8"?>
<sst xmlns="http://schemas.openxmlformats.org/spreadsheetml/2006/main" count="930" uniqueCount="476">
  <si>
    <t>Npk</t>
  </si>
  <si>
    <t>Darba nosaukums</t>
  </si>
  <si>
    <t>Mērvienība</t>
  </si>
  <si>
    <t>Daudzums</t>
  </si>
  <si>
    <t>gab</t>
  </si>
  <si>
    <r>
      <t>m</t>
    </r>
    <r>
      <rPr>
        <sz val="11"/>
        <rFont val="Calibri"/>
        <family val="2"/>
      </rPr>
      <t>²</t>
    </r>
  </si>
  <si>
    <t>Objekta sagatavošana</t>
  </si>
  <si>
    <t>Pārvietojamās tualetes īre</t>
  </si>
  <si>
    <t>m</t>
  </si>
  <si>
    <t>28.1.</t>
  </si>
  <si>
    <t>29.1.</t>
  </si>
  <si>
    <r>
      <t>Objekta adrese:</t>
    </r>
    <r>
      <rPr>
        <i/>
        <sz val="11"/>
        <rFont val="Times New Roman"/>
        <family val="1"/>
      </rPr>
      <t xml:space="preserve"> Rīgas iela 55, Valmiera, Valmieras novads</t>
    </r>
  </si>
  <si>
    <t>mēn</t>
  </si>
  <si>
    <t>Tērauda jumta seguma Monterrey, sazemējuma, sniega barjeru, kores demontāža uzglabāšana un montāža iepriekšējā stāvoklī</t>
  </si>
  <si>
    <r>
      <t>m</t>
    </r>
    <r>
      <rPr>
        <sz val="11"/>
        <rFont val="Times New Roman"/>
        <family val="1"/>
      </rPr>
      <t>²</t>
    </r>
  </si>
  <si>
    <t>Pretkondensāta plēves demontāža un jaunas ierīkošana</t>
  </si>
  <si>
    <t>Pažobeles telpa virs virtuves</t>
  </si>
  <si>
    <t>m²</t>
  </si>
  <si>
    <t>mitrumizturīgais OSB 10mm</t>
  </si>
  <si>
    <t xml:space="preserve"> skrūves kokskaidu plātnēm 4,2x30</t>
  </si>
  <si>
    <t>Demontēt betona grīdu 10cm biezumā un būvgružu utilizācija</t>
  </si>
  <si>
    <t>Demontēt koka starpsienas dēļu apšuvumu, uzglabāšana montāžai</t>
  </si>
  <si>
    <t>Fibo mūra virsmas apmešana ar kaļķa javu</t>
  </si>
  <si>
    <t>sakret PM 25kg</t>
  </si>
  <si>
    <t>Vertikāla latojuma 50x50 ar soli 600mm ierīkošana ar iepriekšēju skrūvju caurumu izurbšanu</t>
  </si>
  <si>
    <t>latas 50x50mm</t>
  </si>
  <si>
    <t>koka skrūves 6x90</t>
  </si>
  <si>
    <t>Koka karkasa aizpildījums ar minerālvati b=100mm</t>
  </si>
  <si>
    <t>mīkstā minerālvate loksnēs b=100mm</t>
  </si>
  <si>
    <t>Koka karkasa aizpildījums ar minerālvati b=50mm</t>
  </si>
  <si>
    <t>mīkstā minerālvate loksnēs b=50mm</t>
  </si>
  <si>
    <t>kokšķiedras vēja plātne b=25mm ar pusspundi</t>
  </si>
  <si>
    <t>Kokšķiedras vēja plātnes b=25mm ar pusspundi ierīkošana ar skrūvju caurumu urbšanu stiprinājuma līstei</t>
  </si>
  <si>
    <t>kg</t>
  </si>
  <si>
    <t>lamellu fasādes vate Paroc Linio 80 b=200mm</t>
  </si>
  <si>
    <t>līmjava BAK 25kg</t>
  </si>
  <si>
    <t>Sienu siltināšana ar lamellu fasādes vati un apstrāde ar līmjavu un sietu</t>
  </si>
  <si>
    <t>apmetuma stiklašķiedras siets 160g/m2</t>
  </si>
  <si>
    <t>18.1.</t>
  </si>
  <si>
    <t>Grīdas iztīrīšana ar putekļsūcēju</t>
  </si>
  <si>
    <t>Kanalizācijas vēdināšanas caurules apdare</t>
  </si>
  <si>
    <t>poliuretāna līme Makroflex 0,75l</t>
  </si>
  <si>
    <t>Dēļu grīdas b=47mm ierīkošana</t>
  </si>
  <si>
    <t>Ekovates siltumizolācijas b=300mm ierīkošana</t>
  </si>
  <si>
    <t>ekovate</t>
  </si>
  <si>
    <t>m³</t>
  </si>
  <si>
    <t>dēļi 150x47mm</t>
  </si>
  <si>
    <t>Siltumizolācijas nosegšana ar vēja un siltumizolācijas plāksni b=30mm</t>
  </si>
  <si>
    <t>siltumizolācijas vēja plātne 30x1200x1800</t>
  </si>
  <si>
    <t>19.1.</t>
  </si>
  <si>
    <t>Demontēto sienas apšuvuma dēļu montāža</t>
  </si>
  <si>
    <t>koka līstes 45x20mm</t>
  </si>
  <si>
    <t>Tvaika plēves demontāža un būvgružu utilizācija</t>
  </si>
  <si>
    <t>Atvērtā jumta nosegšanu ar tentu</t>
  </si>
  <si>
    <t>Mitrumizturīgas OSB 10mm plāksnes ierīkošana pie spārēm un mūrlatas 50cm platumā gaisa plūsmas novirzīšanai uz kori (arī mūra sienas pārbīdes vieta), savienojumu vietā nostiprinot līsti</t>
  </si>
  <si>
    <t>koka līstes 25x15mm</t>
  </si>
  <si>
    <t>koka skrūves 4x30</t>
  </si>
  <si>
    <t>Demontēt keramzīta slāni 10cm biezumā un būvgružu utilizācija</t>
  </si>
  <si>
    <t>Telpas starp spāri un sienu (h=0,2m) aizpildīt ar plākšņu vati 150mm biezumā</t>
  </si>
  <si>
    <t>fasādes vate b=150mm (1000x600mm)</t>
  </si>
  <si>
    <t>Ar vati siltināmo apmesto sienu gruntēšana ar saķeri veicinošu grunti</t>
  </si>
  <si>
    <t>Esošā vates siltinājuma apsekošana un papildināšana</t>
  </si>
  <si>
    <t>koka skrūves 6x150</t>
  </si>
  <si>
    <t>Horizontāla latojuma 100x50(h) ar soli 600mm ierīkošana ar iepriekšēju skrūvju caurumu izurbšanu</t>
  </si>
  <si>
    <t>dēļi 100x50mm</t>
  </si>
  <si>
    <t>20.1.</t>
  </si>
  <si>
    <t>dēļi 25x100 (25% jauni)</t>
  </si>
  <si>
    <t>fibrolīts b=50mm</t>
  </si>
  <si>
    <t>27.1.</t>
  </si>
  <si>
    <t>Vates zem dēļiem nosegšana ar celtniecības papīru</t>
  </si>
  <si>
    <t>celtniecības papīrs 0,8x10m</t>
  </si>
  <si>
    <t>Esošo durvju 780x1780 demontāža un būvgružu utilizācija</t>
  </si>
  <si>
    <t>Siltinātu plātņu dubultdurvju 780x1780  (sienas biezums 300mm) ierīkošana, krāsojums analogs esošajam krāsojumam</t>
  </si>
  <si>
    <t>Minerālvates b=100mm  demontāža un saglabāšana montāžai</t>
  </si>
  <si>
    <t>Vēja plātnes pamatnes līstes pieskrūvēšana ar iepriekšēju caurumu urbšanu līstēs</t>
  </si>
  <si>
    <t>skrūves 4x50 ar soli 20cm</t>
  </si>
  <si>
    <t>ISOVER VKL 13x1200X2700</t>
  </si>
  <si>
    <t>Mineālvates vēja plānes ISOVER VKL ierīkošana ar iepriekšēju caurumu urbšanu stiprinājuma līstēs</t>
  </si>
  <si>
    <t>koka līstes 30x9mm</t>
  </si>
  <si>
    <t>Ģipškartona sienas apšuvuma augšējās daļas h=10cm nogriešana, demontāža un būvgružu utilizācija</t>
  </si>
  <si>
    <t>Ģipškartona sienas apšuvuma augšējās daļas vadulu nogriešana un stiprinājuma pārnešana</t>
  </si>
  <si>
    <t>42.1.</t>
  </si>
  <si>
    <t>Spāru augstuma palielināšana ar koka latu</t>
  </si>
  <si>
    <t>43.1.</t>
  </si>
  <si>
    <t>koka lata 63(h)x75mm</t>
  </si>
  <si>
    <t>koka skrūves 6x120</t>
  </si>
  <si>
    <t>44.1.</t>
  </si>
  <si>
    <t>Tvaika plēves ierīkošana</t>
  </si>
  <si>
    <t>tvaika plēve 0,2mm biezumā</t>
  </si>
  <si>
    <t>Koka karkasa ar soli 400mm ierīkošana perpendikulāri spārēm</t>
  </si>
  <si>
    <t>koka lata 75(h)x50mm</t>
  </si>
  <si>
    <t>45.1.</t>
  </si>
  <si>
    <t>46.1.</t>
  </si>
  <si>
    <t>46.2.</t>
  </si>
  <si>
    <t>47.1.</t>
  </si>
  <si>
    <t>48.1.</t>
  </si>
  <si>
    <t xml:space="preserve">Starpkarkasa telpas aizpildījums ar minerālvati b=75mm </t>
  </si>
  <si>
    <t>mīkstā minerālvate loksnēs b=75mm</t>
  </si>
  <si>
    <t>Griestu apšūšana ar ģipškartonu</t>
  </si>
  <si>
    <t>ģipškartons</t>
  </si>
  <si>
    <t>ģipškartona skrūves kokam 3,9x35</t>
  </si>
  <si>
    <t>špaktele</t>
  </si>
  <si>
    <t>šuvju lenta</t>
  </si>
  <si>
    <t>Sienas un griestu stūra noformēšana</t>
  </si>
  <si>
    <t>Griestu virsmas špaktelēšana</t>
  </si>
  <si>
    <t>Griestu virsmas gruntēšana ar saķeri veicinošu grunti</t>
  </si>
  <si>
    <t>Griestu krāsošana ar griestu emulsijas krāsu Bindo3</t>
  </si>
  <si>
    <t>krāsa Bindo 3</t>
  </si>
  <si>
    <t>l</t>
  </si>
  <si>
    <t>Ģipškartona apšuvuma griestu demontāža un būvgružu utilizācija</t>
  </si>
  <si>
    <t>Griestu karkasa 45(h)x50 solis 400mm un būvgružu utilizācija</t>
  </si>
  <si>
    <t>Griestu karkasa 45(h)x50 solis 400mm demontāža un būvgružu utilizācija</t>
  </si>
  <si>
    <t>Vēja plātnes pamatnes līstes pieskrūvēšana ar iepriekšēju caurumu urbšanu līstēs (0,5m virs bēniņu grīdas)</t>
  </si>
  <si>
    <t>Telpas starp spāri un sienu (h=0,25m) aizpildīt ar plākšņu vati 150mm biezumā</t>
  </si>
  <si>
    <t>63.1.</t>
  </si>
  <si>
    <t>64.1.</t>
  </si>
  <si>
    <t>65.1.</t>
  </si>
  <si>
    <t>66.1.</t>
  </si>
  <si>
    <t>67.1.</t>
  </si>
  <si>
    <t>67.2.</t>
  </si>
  <si>
    <t>68.1.</t>
  </si>
  <si>
    <t>69.1.</t>
  </si>
  <si>
    <t>Vēja plātnes starp spārēm un sienas vēja plātnes stūra nosegšana pažobelē ar individuāli izgatavotu koka stūra līsti</t>
  </si>
  <si>
    <t>šuvju līmlenta</t>
  </si>
  <si>
    <t>Starpspāru telpas aizpildījums ar minerālvati b=100mm divās kārtās (kopējais biezums 200mm).</t>
  </si>
  <si>
    <t>Ģipškartona griestu apšuvuma augšējās daļas h=17cm nogriešana, demontāža un būvgružu utilizācija</t>
  </si>
  <si>
    <t>Ģipškartona griestu apšuvuma stiprinājuma pārnešana</t>
  </si>
  <si>
    <t>Plēves un vates balsta līstes ierīkošana starp latām (divas līstes)</t>
  </si>
  <si>
    <t>Esošās vēja plātnes demontāža, uzglabāšana un montāža</t>
  </si>
  <si>
    <t>Esošās siltumizolācijas vates b=100mm demontāža, uzglabāšana un montāža</t>
  </si>
  <si>
    <t>Sadzīves atkritumu un būvgružu savākšana un utilizācija</t>
  </si>
  <si>
    <r>
      <t>m</t>
    </r>
    <r>
      <rPr>
        <sz val="11"/>
        <rFont val="Times New Roman"/>
        <family val="1"/>
      </rPr>
      <t>³</t>
    </r>
  </si>
  <si>
    <t>Esošās tvaika plēves demontāža, uzglabāšana un montāža</t>
  </si>
  <si>
    <t>Dēļu grīdas pamatnes fibrolīta 200mm platumā un h=300mm pamatu ierīkošana tos salīmējot un pielīmējot pie grīdas (solis 1m, l=3,0m)</t>
  </si>
  <si>
    <t>Siltumizolācijas b=100mm ierīkošana ar esošo vati</t>
  </si>
  <si>
    <t>Siltumizolācijas nosegšana ar esošo vēja un siltumizolācijas plāksni b=30mm</t>
  </si>
  <si>
    <t xml:space="preserve"> montāžas skrūves ar plato galvu 4,2x19</t>
  </si>
  <si>
    <r>
      <t>līste 12x50mm ar 45</t>
    </r>
    <r>
      <rPr>
        <sz val="11"/>
        <rFont val="Calibri"/>
        <family val="2"/>
      </rPr>
      <t>°</t>
    </r>
    <r>
      <rPr>
        <sz val="11"/>
        <rFont val="Times New Roman"/>
        <family val="1"/>
        <charset val="186"/>
      </rPr>
      <t>apzāģētām malām</t>
    </r>
  </si>
  <si>
    <t>Sienas lūkas sānu malas paplašināšana (h=500mm, b=200mm)- Fibo mūra b=250mm demontāža ar malas zāģēšanu un būvgružu utilizācija</t>
  </si>
  <si>
    <t>Vēsturiskā mūra ķieģeļu izvirzījuma iedobju aizlīmēšana ar siltumizolācijas gabaliņiem</t>
  </si>
  <si>
    <t>Vēsturiskā mūra ķieģeļu izvirzījuma noskaldīšana, būvgružu utilizācija un virsmas izlīdzināšana ar kaļķa cementa javu</t>
  </si>
  <si>
    <t>Vēsturiskā mūra virsmasizlīdzināšana ar 20mm siltumizolācijas materiālu</t>
  </si>
  <si>
    <t>87.1.</t>
  </si>
  <si>
    <t>88.1.</t>
  </si>
  <si>
    <t>91.1.</t>
  </si>
  <si>
    <t>Koka kāpņu b=0,5m, h=1,0m ierīkošana, pakāpienu dziļums 15cm</t>
  </si>
  <si>
    <t>Koka kāpņu b=0,5m, h=0,4m ierīkošana, pakāpienu dziļums 15cm</t>
  </si>
  <si>
    <t>Siltinātu durvju ierīkošana no koridora puses, krāsojums analogs esošajam ar ailas apdari</t>
  </si>
  <si>
    <t>šuvju hermētiķis</t>
  </si>
  <si>
    <t>107.1.</t>
  </si>
  <si>
    <t>Laipu koka pamatnes ierīkošana no dēliem 50x150mm ar soli 1m, h=150mm, l=800mm</t>
  </si>
  <si>
    <t>Dēļu grīdas b=32mm ierīkošana</t>
  </si>
  <si>
    <t>dēļi 100x32mm</t>
  </si>
  <si>
    <t>Dēļu grīdas pamatnes fibrolīta 200mm platumā un h=300mm pamatu ierīkošana tos salīmējot</t>
  </si>
  <si>
    <t>Tvaika plēves 0,2mm ierīkošana</t>
  </si>
  <si>
    <t>89.1.</t>
  </si>
  <si>
    <t>89.2.</t>
  </si>
  <si>
    <t>108.1.</t>
  </si>
  <si>
    <t>109.1.</t>
  </si>
  <si>
    <t>Karnīzes apšuvumu dēļu demontāža, uzglabāšana</t>
  </si>
  <si>
    <t>Fibo sienas negludumu nosišana</t>
  </si>
  <si>
    <t>fasādes vate b=100mm</t>
  </si>
  <si>
    <t>Plēves un vates balsta līstes ierīkošana starp latām (divas līstes starp latām)</t>
  </si>
  <si>
    <t>90.1.</t>
  </si>
  <si>
    <t>108.2.</t>
  </si>
  <si>
    <t>108.3.</t>
  </si>
  <si>
    <t>109.2.</t>
  </si>
  <si>
    <t>109.3.</t>
  </si>
  <si>
    <t>109.4.</t>
  </si>
  <si>
    <t>115.1.</t>
  </si>
  <si>
    <t>116.1.</t>
  </si>
  <si>
    <t>125.1.</t>
  </si>
  <si>
    <t>125.2.</t>
  </si>
  <si>
    <t>126.1.</t>
  </si>
  <si>
    <t>127.1.</t>
  </si>
  <si>
    <t>131.1.</t>
  </si>
  <si>
    <t>132.1.</t>
  </si>
  <si>
    <t>Nerūsējošā tērauda sieta (acs 8,3x8,3mm stieple 1,2mm) ierīkošana karnīzes ventilācijas spraugā starp spārēm, mūrlatu un antikondensāta plēvi</t>
  </si>
  <si>
    <t>nerūsējošā tērauda siets</t>
  </si>
  <si>
    <t>montāžas skrūves 4,2x45</t>
  </si>
  <si>
    <t>skrūves 4x45</t>
  </si>
  <si>
    <t>13.1.</t>
  </si>
  <si>
    <t>16.1.</t>
  </si>
  <si>
    <t>16.2.</t>
  </si>
  <si>
    <t>18.2.</t>
  </si>
  <si>
    <t>20.2.</t>
  </si>
  <si>
    <t>22.1.</t>
  </si>
  <si>
    <t>22.2.</t>
  </si>
  <si>
    <t>44.2.</t>
  </si>
  <si>
    <t>48.2.</t>
  </si>
  <si>
    <t>50.1.</t>
  </si>
  <si>
    <t>52.1.</t>
  </si>
  <si>
    <t>65.2.</t>
  </si>
  <si>
    <t>69.2.</t>
  </si>
  <si>
    <t>71.1.</t>
  </si>
  <si>
    <t>73.1.</t>
  </si>
  <si>
    <t>87.2.</t>
  </si>
  <si>
    <t>91.2.</t>
  </si>
  <si>
    <t>93.1.</t>
  </si>
  <si>
    <t>95.1.</t>
  </si>
  <si>
    <t>106.1.</t>
  </si>
  <si>
    <t>Esošās vēja plātnes demontāža, uzglabāšana</t>
  </si>
  <si>
    <t>Esošās siltumizolācijas vates b=100mm demontāža, uzglabāšana</t>
  </si>
  <si>
    <t>Karnīzes apšuvumu dēļu montāža ar dēļu piezāģēšanu</t>
  </si>
  <si>
    <t>142.1.</t>
  </si>
  <si>
    <t>Sastatņu ierīkošana</t>
  </si>
  <si>
    <t>148.1.</t>
  </si>
  <si>
    <t>Ventilācijas izvadu T04-AL, D150, ar mehānisko ventilatoru, Turbo Perfekta EVO (sarkans) montāža metāla dakstiņu jumta korē ar iestrādi pretkondensāta plēvē</t>
  </si>
  <si>
    <t>Ventilācijas izolēta izvada d=125 Perfekta EVO (sarkana) montāža metāla dakstiņu jumta korē ar iestrādi pretkondensāta plēvē</t>
  </si>
  <si>
    <t>PP kanalizācijas cauruļu d=110mm ar veidgabaliem un stiprinājumiem ierīkošana bēniņos no kanalizācijas stāvvada līdz jumta korei (2m ir spāru siltinājuma zonā) ar pieslēgšanu jumta ventilācijas izvadam</t>
  </si>
  <si>
    <t>Ventilācijas cauruļu demontāža un uzglabāšana</t>
  </si>
  <si>
    <t>Ventilācijas cauruļu montāža ar gabarītu korekciju pēc siltumizolācijas darbu pabeigšanas</t>
  </si>
  <si>
    <t>Signalizācijas demontāža un montāža pēc siltināšanas darbu pabeigšanas</t>
  </si>
  <si>
    <t>Signalizācijas aizsardzības nodrošināšana būvdarbu laikā</t>
  </si>
  <si>
    <t>Sienu siltināšana ar fasādes vati un apstrāde ar līmjavu un sietu (plaknē ir horizontāla lata 50x50mm)</t>
  </si>
  <si>
    <t>Sienu un mūrlatas siltināšana ar fasādes vati un apstrāde ar līmjavu un sietu (plaknē ir horizontāla lata 50x50mm)</t>
  </si>
  <si>
    <t>Sienas un telpas līdz vēja plātnei siltināšana ar fasādes vati un apstrāde ar līmjavu un sietu (plaknē ir horizontāla lata 50x50mm)</t>
  </si>
  <si>
    <t>Dēļu grīdas b=47mm ierīkošana ar padziļinājumu durvju vietā</t>
  </si>
  <si>
    <t>Ekovates siltumizolācijas līdz kopējam biezumamam 300mm</t>
  </si>
  <si>
    <t>Siltumizolācijas b=100mm ierīkošana ar esošo vati iepriekš sakārtojot esošo tvaika plēvi</t>
  </si>
  <si>
    <t>Pagaidu sētas noma 3mēn</t>
  </si>
  <si>
    <t>6.1.</t>
  </si>
  <si>
    <t>6.2.</t>
  </si>
  <si>
    <t>6.3.</t>
  </si>
  <si>
    <t>6.4.</t>
  </si>
  <si>
    <t>7.1.</t>
  </si>
  <si>
    <t>7.2.</t>
  </si>
  <si>
    <t>7.3.</t>
  </si>
  <si>
    <t>7.4.</t>
  </si>
  <si>
    <t>11.1.</t>
  </si>
  <si>
    <t>14.1.</t>
  </si>
  <si>
    <t>14.2.</t>
  </si>
  <si>
    <t>14.3.</t>
  </si>
  <si>
    <t>17.1.</t>
  </si>
  <si>
    <t>20.3.</t>
  </si>
  <si>
    <t>25.1.</t>
  </si>
  <si>
    <t>25.2.</t>
  </si>
  <si>
    <t>26.1.</t>
  </si>
  <si>
    <t>36.1.</t>
  </si>
  <si>
    <t>36.2.</t>
  </si>
  <si>
    <t>37.1.</t>
  </si>
  <si>
    <t>37.2.</t>
  </si>
  <si>
    <t>37.3.</t>
  </si>
  <si>
    <t>37.4.</t>
  </si>
  <si>
    <t>40.1.</t>
  </si>
  <si>
    <t>41.1.</t>
  </si>
  <si>
    <t>42.2.</t>
  </si>
  <si>
    <t>44.3.</t>
  </si>
  <si>
    <t>45.2.</t>
  </si>
  <si>
    <t>48.3.</t>
  </si>
  <si>
    <t>48.4.</t>
  </si>
  <si>
    <t>57.1.</t>
  </si>
  <si>
    <t>57.2.</t>
  </si>
  <si>
    <t>58.1.</t>
  </si>
  <si>
    <t>58.2.</t>
  </si>
  <si>
    <t>58.3.</t>
  </si>
  <si>
    <t>58.4.</t>
  </si>
  <si>
    <t>61.1.</t>
  </si>
  <si>
    <t>62.1.</t>
  </si>
  <si>
    <t>63.2.</t>
  </si>
  <si>
    <t>65.3.</t>
  </si>
  <si>
    <t>66.2.</t>
  </si>
  <si>
    <t>69.3.</t>
  </si>
  <si>
    <t>69.4.</t>
  </si>
  <si>
    <t>79.1.</t>
  </si>
  <si>
    <t>79.2.</t>
  </si>
  <si>
    <t>80.1.</t>
  </si>
  <si>
    <t>80.2.</t>
  </si>
  <si>
    <t>80.3.</t>
  </si>
  <si>
    <t>80.4.</t>
  </si>
  <si>
    <t>85.1.</t>
  </si>
  <si>
    <t>85.2.</t>
  </si>
  <si>
    <t>86.1.</t>
  </si>
  <si>
    <t>87.3.</t>
  </si>
  <si>
    <t>88.2.</t>
  </si>
  <si>
    <t>91.3.</t>
  </si>
  <si>
    <t>91.4.</t>
  </si>
  <si>
    <t>104.1.</t>
  </si>
  <si>
    <t>107.2.</t>
  </si>
  <si>
    <t>107.3.</t>
  </si>
  <si>
    <t>108.4.</t>
  </si>
  <si>
    <t>112.1.</t>
  </si>
  <si>
    <t>112.2.</t>
  </si>
  <si>
    <t>114.1.</t>
  </si>
  <si>
    <t>124.1.</t>
  </si>
  <si>
    <t>124.2.</t>
  </si>
  <si>
    <t>125.3.</t>
  </si>
  <si>
    <t>125.4.</t>
  </si>
  <si>
    <t>130.1.</t>
  </si>
  <si>
    <t>135.1.</t>
  </si>
  <si>
    <t>137.1.</t>
  </si>
  <si>
    <t>137.2.</t>
  </si>
  <si>
    <t>137.3.</t>
  </si>
  <si>
    <t>141.1.</t>
  </si>
  <si>
    <t>142.2.</t>
  </si>
  <si>
    <t>142.3.</t>
  </si>
  <si>
    <t>147.1.</t>
  </si>
  <si>
    <t>148.2.</t>
  </si>
  <si>
    <t>148.3.</t>
  </si>
  <si>
    <t>Būvdarbu apjomu saraksts</t>
  </si>
  <si>
    <t>Elektroinstalācijas un vājstrāvu sakārtošana zāles bēniņu telpās</t>
  </si>
  <si>
    <t>cilv/h</t>
  </si>
  <si>
    <t>Kanalizācijas caurules d=110mm minerālvates izolācijas ar foliju ClimCover CR Alu 2  b=20mm ar savienojuma vietu nolīmēšanu ar lentu</t>
  </si>
  <si>
    <t xml:space="preserve">Pansionāta "Valmiera" zāles piebūves energoefektivitātes paaugstināšana Rīgas ielā 55, Valmierā, Valmieras novadā </t>
  </si>
  <si>
    <r>
      <t>Objekta nosaukums:</t>
    </r>
    <r>
      <rPr>
        <i/>
        <sz val="11"/>
        <rFont val="Times New Roman"/>
        <family val="1"/>
      </rPr>
      <t xml:space="preserve"> Pansionāts</t>
    </r>
    <r>
      <rPr>
        <sz val="11"/>
        <rFont val="Times New Roman"/>
        <family val="1"/>
      </rPr>
      <t xml:space="preserve"> "Valmiera"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</si>
  <si>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</si>
  <si>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</si>
  <si>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</si>
  <si>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</si>
  <si>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</si>
  <si>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</si>
  <si>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</si>
  <si>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</si>
  <si>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</si>
  <si>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</si>
  <si>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Sienas</t>
  </si>
  <si>
    <t>11.</t>
  </si>
  <si>
    <t>12.</t>
  </si>
  <si>
    <t>13.</t>
  </si>
  <si>
    <t>14.</t>
  </si>
  <si>
    <t>15.</t>
  </si>
  <si>
    <t>Starpsiena</t>
  </si>
  <si>
    <t>17.</t>
  </si>
  <si>
    <t>18.</t>
  </si>
  <si>
    <t>19.</t>
  </si>
  <si>
    <t>20.</t>
  </si>
  <si>
    <t>21y.</t>
  </si>
  <si>
    <t>22.</t>
  </si>
  <si>
    <t>23.</t>
  </si>
  <si>
    <t>24.</t>
  </si>
  <si>
    <t>25.</t>
  </si>
  <si>
    <t>26.</t>
  </si>
  <si>
    <t>27.</t>
  </si>
  <si>
    <t>28.</t>
  </si>
  <si>
    <t>29.</t>
  </si>
  <si>
    <t>Durvis</t>
  </si>
  <si>
    <t>30.</t>
  </si>
  <si>
    <t>31.</t>
  </si>
  <si>
    <t>32.</t>
  </si>
  <si>
    <t>Lielā palīgtelpa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</si>
  <si>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</si>
  <si>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</si>
  <si>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</si>
  <si>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</si>
  <si>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</si>
  <si>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</si>
  <si>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</si>
  <si>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</si>
  <si>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</si>
  <si>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</si>
  <si>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</si>
  <si>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</si>
  <si>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</si>
  <si>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</si>
  <si>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</si>
  <si>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</si>
  <si>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</si>
  <si>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</si>
  <si>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</si>
  <si>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</si>
  <si>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Mazā palīgtelpa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</si>
  <si>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</si>
  <si>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</si>
  <si>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</si>
  <si>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</si>
  <si>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</si>
  <si>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</si>
  <si>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</si>
  <si>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</si>
  <si>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</si>
  <si>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</si>
  <si>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</si>
  <si>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</si>
  <si>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</si>
  <si>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</si>
  <si>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</si>
  <si>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</si>
  <si>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</si>
  <si>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</si>
  <si>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</si>
  <si>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</si>
  <si>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</si>
  <si>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</si>
  <si>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Zāle (griestu augstums 4,3m)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</si>
  <si>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</si>
  <si>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</si>
  <si>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</si>
  <si>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</si>
  <si>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</si>
  <si>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</si>
  <si>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</si>
  <si>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</si>
  <si>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</si>
  <si>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</si>
  <si>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</si>
  <si>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</si>
  <si>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</si>
  <si>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</si>
  <si>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</si>
  <si>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</si>
  <si>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</si>
  <si>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</si>
  <si>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</si>
  <si>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</si>
  <si>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</si>
  <si>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Bēniņi ar betona pārsegumu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</si>
  <si>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</si>
  <si>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</si>
  <si>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</si>
  <si>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</si>
  <si>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</si>
  <si>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</si>
  <si>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</si>
  <si>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</si>
  <si>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</si>
  <si>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</si>
  <si>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</si>
  <si>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</si>
  <si>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</si>
  <si>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</si>
  <si>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</si>
  <si>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</si>
  <si>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</si>
  <si>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</si>
  <si>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</si>
  <si>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</si>
  <si>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</si>
  <si>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</si>
  <si>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</si>
  <si>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</si>
  <si>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Koka pārseguma bēniņi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</si>
  <si>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</si>
  <si>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</si>
  <si>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</si>
  <si>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</si>
  <si>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</si>
  <si>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</si>
  <si>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</si>
  <si>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</si>
  <si>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</si>
  <si>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</si>
  <si>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</si>
  <si>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</si>
  <si>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Vitruves ieejas fasāde</t>
  </si>
  <si>
    <t>133.</t>
  </si>
  <si>
    <t>134.</t>
  </si>
  <si>
    <t>135.</t>
  </si>
  <si>
    <t>136.</t>
  </si>
  <si>
    <t>137.</t>
  </si>
  <si>
    <t>138.</t>
  </si>
  <si>
    <t>Fasādes zemā daļa h=4,0m</t>
  </si>
  <si>
    <t>142.</t>
  </si>
  <si>
    <t>143.</t>
  </si>
  <si>
    <t>Fasādes augstā daļa h=7,4m</t>
  </si>
  <si>
    <t>144.</t>
  </si>
  <si>
    <t>145.</t>
  </si>
  <si>
    <t>146.</t>
  </si>
  <si>
    <t>147.</t>
  </si>
  <si>
    <t>148.</t>
  </si>
  <si>
    <t>149.</t>
  </si>
  <si>
    <t>Jumta plaknes ventilācija</t>
  </si>
  <si>
    <t>150.</t>
  </si>
  <si>
    <t>Kanalizācijas ventilācija austrumu puses korpusā</t>
  </si>
  <si>
    <t>151.</t>
  </si>
  <si>
    <t>152.</t>
  </si>
  <si>
    <t>153.</t>
  </si>
  <si>
    <t>Ventilācijas caurules</t>
  </si>
  <si>
    <t>154.</t>
  </si>
  <si>
    <t>155.</t>
  </si>
  <si>
    <t>Ugunsdzēsības signalizācija</t>
  </si>
  <si>
    <t>156.</t>
  </si>
  <si>
    <t>157.</t>
  </si>
  <si>
    <t>Elektroinstalācija un vājstrāvas</t>
  </si>
  <si>
    <t>158.</t>
  </si>
  <si>
    <t>Grīda</t>
  </si>
  <si>
    <t>Tāme sastādīta pamatojoties uz objekta mērījumiem: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</si>
</sst>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i/>
      <sz val="11"/>
      <name val="Times New Roman"/>
      <family val="1"/>
    </font>
    <font>
      <i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37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4" fontId="9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/>
    <xf numFmtId="0" fontId="11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10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</cellXfs>
  <cellStyles count="3">
    <cellStyle name="Normal" xfId="0" builtinId="0"/>
    <cellStyle name="Normal 2" xfId="1" xr:uid="{00000000-0005-0000-0000-000001000000}"/>
    <cellStyle name="Normal_Tame paraugs" xfId="2" xr:uid="{00000000-0005-0000-0000-000002000000}"/>
  </cellStyles>
  <dxfs count="2"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2"/>
  <sheetViews>
    <sheetView tabSelected="1" zoomScaleNormal="100" workbookViewId="0">
      <selection activeCell="A6" sqref="A6"/>
    </sheetView>
  </sheetViews>
  <sheetFormatPr defaultColWidth="8.7109375" defaultRowHeight="15" x14ac:dyDescent="0.25"/>
  <cols>
    <col min="1" max="1" width="5.7109375" style="1" customWidth="1"/>
    <col min="2" max="2" width="32.7109375" style="2" customWidth="1"/>
    <col min="3" max="3" width="6.5703125" style="2" customWidth="1"/>
    <col min="4" max="4" width="8" style="2" customWidth="1"/>
    <col min="5" max="5" width="8.7109375" style="2"/>
    <col min="6" max="6" width="0.85546875" style="2" customWidth="1"/>
    <col min="7" max="9" width="8.7109375" style="2" hidden="1" customWidth="1"/>
    <col min="10" max="16384" width="8.7109375" style="2"/>
  </cols>
  <sheetData>
    <row r="1" spans="1:9" x14ac:dyDescent="0.25">
      <c r="B1" s="9" t="s">
        <v>299</v>
      </c>
      <c r="C1" s="9"/>
    </row>
    <row r="2" spans="1:9" ht="37.5" customHeight="1" x14ac:dyDescent="0.25">
      <c r="A2" s="36" t="s">
        <v>303</v>
      </c>
      <c r="B2" s="36"/>
      <c r="C2" s="36"/>
      <c r="D2" s="36"/>
      <c r="E2" s="36"/>
      <c r="F2" s="36"/>
      <c r="G2" s="36"/>
      <c r="H2" s="36"/>
      <c r="I2" s="36"/>
    </row>
    <row r="4" spans="1:9" x14ac:dyDescent="0.25">
      <c r="A4" s="3" t="s">
        <v>304</v>
      </c>
    </row>
    <row r="5" spans="1:9" x14ac:dyDescent="0.25">
      <c r="A5" s="4" t="s">
        <v>11</v>
      </c>
    </row>
    <row r="6" spans="1:9" x14ac:dyDescent="0.25">
      <c r="A6" s="4" t="s">
        <v>475</v>
      </c>
    </row>
    <row r="7" spans="1:9" x14ac:dyDescent="0.25">
      <c r="A7" s="12" t="s">
        <v>0</v>
      </c>
      <c r="B7" s="12" t="s">
        <v>1</v>
      </c>
      <c r="C7" s="13" t="s">
        <v>2</v>
      </c>
      <c r="D7" s="13" t="s">
        <v>3</v>
      </c>
    </row>
    <row r="8" spans="1:9" ht="87" customHeight="1" x14ac:dyDescent="0.25">
      <c r="A8" s="12"/>
      <c r="B8" s="12"/>
      <c r="C8" s="13"/>
      <c r="D8" s="13"/>
    </row>
    <row r="9" spans="1:9" s="1" customFormat="1" x14ac:dyDescent="0.25">
      <c r="A9" s="5">
        <v>1</v>
      </c>
      <c r="B9" s="5">
        <v>2</v>
      </c>
      <c r="C9" s="5">
        <v>3</v>
      </c>
      <c r="D9" s="5">
        <v>4</v>
      </c>
    </row>
    <row r="10" spans="1:9" s="1" customFormat="1" x14ac:dyDescent="0.25">
      <c r="A10" s="5"/>
      <c r="B10" s="5"/>
      <c r="C10" s="5"/>
      <c r="D10" s="5"/>
    </row>
    <row r="11" spans="1:9" s="6" customFormat="1" ht="15" customHeight="1" x14ac:dyDescent="0.25">
      <c r="A11" s="14" t="s">
        <v>6</v>
      </c>
      <c r="B11" s="14"/>
      <c r="C11" s="14"/>
      <c r="D11" s="14"/>
    </row>
    <row r="12" spans="1:9" s="7" customFormat="1" x14ac:dyDescent="0.25">
      <c r="A12" s="15" t="s">
        <v>305</v>
      </c>
      <c r="B12" s="16" t="s">
        <v>7</v>
      </c>
      <c r="C12" s="15" t="s">
        <v>12</v>
      </c>
      <c r="D12" s="17">
        <v>3</v>
      </c>
    </row>
    <row r="13" spans="1:9" x14ac:dyDescent="0.25">
      <c r="A13" s="18" t="s">
        <v>306</v>
      </c>
      <c r="B13" s="19" t="s">
        <v>220</v>
      </c>
      <c r="C13" s="20" t="s">
        <v>8</v>
      </c>
      <c r="D13" s="17">
        <f>16*2</f>
        <v>32</v>
      </c>
    </row>
    <row r="14" spans="1:9" s="7" customFormat="1" ht="60" x14ac:dyDescent="0.25">
      <c r="A14" s="15" t="s">
        <v>307</v>
      </c>
      <c r="B14" s="16" t="s">
        <v>13</v>
      </c>
      <c r="C14" s="15" t="s">
        <v>14</v>
      </c>
      <c r="D14" s="21">
        <v>60</v>
      </c>
    </row>
    <row r="15" spans="1:9" s="7" customFormat="1" ht="30" x14ac:dyDescent="0.25">
      <c r="A15" s="18" t="s">
        <v>308</v>
      </c>
      <c r="B15" s="16" t="s">
        <v>15</v>
      </c>
      <c r="C15" s="15" t="s">
        <v>14</v>
      </c>
      <c r="D15" s="21">
        <f>D14</f>
        <v>60</v>
      </c>
    </row>
    <row r="16" spans="1:9" s="7" customFormat="1" x14ac:dyDescent="0.25">
      <c r="A16" s="15" t="s">
        <v>309</v>
      </c>
      <c r="B16" s="16" t="s">
        <v>53</v>
      </c>
      <c r="C16" s="15" t="s">
        <v>14</v>
      </c>
      <c r="D16" s="21">
        <f>D14</f>
        <v>60</v>
      </c>
    </row>
    <row r="17" spans="1:4" s="1" customFormat="1" x14ac:dyDescent="0.25">
      <c r="A17" s="22" t="s">
        <v>16</v>
      </c>
      <c r="B17" s="22"/>
      <c r="C17" s="22"/>
      <c r="D17" s="22"/>
    </row>
    <row r="18" spans="1:4" ht="75" x14ac:dyDescent="0.25">
      <c r="A18" s="18" t="s">
        <v>310</v>
      </c>
      <c r="B18" s="19" t="s">
        <v>177</v>
      </c>
      <c r="C18" s="20" t="s">
        <v>17</v>
      </c>
      <c r="D18" s="21">
        <f>20*0.3</f>
        <v>6</v>
      </c>
    </row>
    <row r="19" spans="1:4" x14ac:dyDescent="0.25">
      <c r="A19" s="18" t="s">
        <v>221</v>
      </c>
      <c r="B19" s="23" t="s">
        <v>178</v>
      </c>
      <c r="C19" s="20" t="s">
        <v>17</v>
      </c>
      <c r="D19" s="21">
        <f>ROUND(D18*1.167,2)</f>
        <v>7</v>
      </c>
    </row>
    <row r="20" spans="1:4" x14ac:dyDescent="0.25">
      <c r="A20" s="18" t="s">
        <v>222</v>
      </c>
      <c r="B20" s="23" t="s">
        <v>55</v>
      </c>
      <c r="C20" s="20" t="s">
        <v>8</v>
      </c>
      <c r="D20" s="21">
        <f>25*0.2*4</f>
        <v>20</v>
      </c>
    </row>
    <row r="21" spans="1:4" x14ac:dyDescent="0.25">
      <c r="A21" s="18" t="s">
        <v>223</v>
      </c>
      <c r="B21" s="23" t="s">
        <v>180</v>
      </c>
      <c r="C21" s="20" t="s">
        <v>4</v>
      </c>
      <c r="D21" s="17">
        <f>6*25</f>
        <v>150</v>
      </c>
    </row>
    <row r="22" spans="1:4" x14ac:dyDescent="0.25">
      <c r="A22" s="18" t="s">
        <v>224</v>
      </c>
      <c r="B22" s="23" t="s">
        <v>179</v>
      </c>
      <c r="C22" s="20" t="s">
        <v>4</v>
      </c>
      <c r="D22" s="17">
        <f>6*25</f>
        <v>150</v>
      </c>
    </row>
    <row r="23" spans="1:4" ht="90" x14ac:dyDescent="0.25">
      <c r="A23" s="18" t="s">
        <v>311</v>
      </c>
      <c r="B23" s="19" t="s">
        <v>54</v>
      </c>
      <c r="C23" s="20" t="s">
        <v>17</v>
      </c>
      <c r="D23" s="21">
        <f>0.5*21</f>
        <v>10.5</v>
      </c>
    </row>
    <row r="24" spans="1:4" x14ac:dyDescent="0.25">
      <c r="A24" s="18" t="s">
        <v>225</v>
      </c>
      <c r="B24" s="23" t="s">
        <v>18</v>
      </c>
      <c r="C24" s="20" t="s">
        <v>17</v>
      </c>
      <c r="D24" s="21">
        <f>ROUND(D23*1.143,2)</f>
        <v>12</v>
      </c>
    </row>
    <row r="25" spans="1:4" ht="30" x14ac:dyDescent="0.25">
      <c r="A25" s="18" t="s">
        <v>226</v>
      </c>
      <c r="B25" s="23" t="s">
        <v>136</v>
      </c>
      <c r="C25" s="20" t="s">
        <v>4</v>
      </c>
      <c r="D25" s="17">
        <f>25*6</f>
        <v>150</v>
      </c>
    </row>
    <row r="26" spans="1:4" x14ac:dyDescent="0.25">
      <c r="A26" s="18" t="s">
        <v>227</v>
      </c>
      <c r="B26" s="23" t="s">
        <v>55</v>
      </c>
      <c r="C26" s="20" t="s">
        <v>8</v>
      </c>
      <c r="D26" s="21">
        <f>ROUND(21/1.2*1.1,2)</f>
        <v>19.25</v>
      </c>
    </row>
    <row r="27" spans="1:4" x14ac:dyDescent="0.25">
      <c r="A27" s="18" t="s">
        <v>228</v>
      </c>
      <c r="B27" s="23" t="s">
        <v>56</v>
      </c>
      <c r="C27" s="20" t="s">
        <v>4</v>
      </c>
      <c r="D27" s="17">
        <f>D26*6</f>
        <v>115.5</v>
      </c>
    </row>
    <row r="28" spans="1:4" ht="30" x14ac:dyDescent="0.25">
      <c r="A28" s="18" t="s">
        <v>312</v>
      </c>
      <c r="B28" s="19" t="s">
        <v>20</v>
      </c>
      <c r="C28" s="20" t="s">
        <v>17</v>
      </c>
      <c r="D28" s="21">
        <v>47</v>
      </c>
    </row>
    <row r="29" spans="1:4" ht="30" x14ac:dyDescent="0.25">
      <c r="A29" s="18" t="s">
        <v>313</v>
      </c>
      <c r="B29" s="19" t="s">
        <v>57</v>
      </c>
      <c r="C29" s="20" t="s">
        <v>17</v>
      </c>
      <c r="D29" s="21">
        <v>47</v>
      </c>
    </row>
    <row r="30" spans="1:4" ht="30" x14ac:dyDescent="0.25">
      <c r="A30" s="18" t="s">
        <v>314</v>
      </c>
      <c r="B30" s="19" t="s">
        <v>21</v>
      </c>
      <c r="C30" s="20" t="s">
        <v>17</v>
      </c>
      <c r="D30" s="21">
        <f>7.7*2+5*2</f>
        <v>25.4</v>
      </c>
    </row>
    <row r="31" spans="1:4" ht="17.25" customHeight="1" x14ac:dyDescent="0.25">
      <c r="A31" s="11" t="s">
        <v>315</v>
      </c>
      <c r="B31" s="11"/>
      <c r="C31" s="11"/>
      <c r="D31" s="11"/>
    </row>
    <row r="32" spans="1:4" ht="30" x14ac:dyDescent="0.25">
      <c r="A32" s="18" t="s">
        <v>316</v>
      </c>
      <c r="B32" s="19" t="s">
        <v>22</v>
      </c>
      <c r="C32" s="20" t="s">
        <v>17</v>
      </c>
      <c r="D32" s="21">
        <f>4.4*2+19*0.4+3*0.4</f>
        <v>17.600000000000001</v>
      </c>
    </row>
    <row r="33" spans="1:4" x14ac:dyDescent="0.25">
      <c r="A33" s="18" t="s">
        <v>229</v>
      </c>
      <c r="B33" s="23" t="s">
        <v>23</v>
      </c>
      <c r="C33" s="20" t="s">
        <v>4</v>
      </c>
      <c r="D33" s="17">
        <f>ROUND(D32*30/25,0)</f>
        <v>21</v>
      </c>
    </row>
    <row r="34" spans="1:4" ht="30" x14ac:dyDescent="0.25">
      <c r="A34" s="18" t="s">
        <v>317</v>
      </c>
      <c r="B34" s="19" t="s">
        <v>60</v>
      </c>
      <c r="C34" s="20" t="s">
        <v>17</v>
      </c>
      <c r="D34" s="21">
        <f>3.7+3.6</f>
        <v>7.3000000000000007</v>
      </c>
    </row>
    <row r="35" spans="1:4" ht="45" x14ac:dyDescent="0.25">
      <c r="A35" s="18" t="s">
        <v>318</v>
      </c>
      <c r="B35" s="19" t="s">
        <v>58</v>
      </c>
      <c r="C35" s="20" t="s">
        <v>17</v>
      </c>
      <c r="D35" s="21">
        <f>3.7*0.2+3.5*0.2</f>
        <v>1.4400000000000002</v>
      </c>
    </row>
    <row r="36" spans="1:4" ht="30" x14ac:dyDescent="0.25">
      <c r="A36" s="18" t="s">
        <v>181</v>
      </c>
      <c r="B36" s="23" t="s">
        <v>59</v>
      </c>
      <c r="C36" s="20" t="s">
        <v>4</v>
      </c>
      <c r="D36" s="17">
        <f>D35/0.6*1.25</f>
        <v>3.0000000000000004</v>
      </c>
    </row>
    <row r="37" spans="1:4" ht="30" x14ac:dyDescent="0.25">
      <c r="A37" s="18" t="s">
        <v>319</v>
      </c>
      <c r="B37" s="19" t="s">
        <v>36</v>
      </c>
      <c r="C37" s="20" t="s">
        <v>17</v>
      </c>
      <c r="D37" s="21">
        <f>3.7+3.6</f>
        <v>7.3000000000000007</v>
      </c>
    </row>
    <row r="38" spans="1:4" ht="30" x14ac:dyDescent="0.25">
      <c r="A38" s="18" t="s">
        <v>230</v>
      </c>
      <c r="B38" s="23" t="s">
        <v>34</v>
      </c>
      <c r="C38" s="20" t="s">
        <v>17</v>
      </c>
      <c r="D38" s="21">
        <f>D37*1.2</f>
        <v>8.76</v>
      </c>
    </row>
    <row r="39" spans="1:4" x14ac:dyDescent="0.25">
      <c r="A39" s="18" t="s">
        <v>231</v>
      </c>
      <c r="B39" s="23" t="s">
        <v>35</v>
      </c>
      <c r="C39" s="20" t="s">
        <v>4</v>
      </c>
      <c r="D39" s="17">
        <f>ROUND(D37*13/25,0)</f>
        <v>4</v>
      </c>
    </row>
    <row r="40" spans="1:4" ht="30" x14ac:dyDescent="0.25">
      <c r="A40" s="18" t="s">
        <v>232</v>
      </c>
      <c r="B40" s="23" t="s">
        <v>37</v>
      </c>
      <c r="C40" s="20" t="s">
        <v>17</v>
      </c>
      <c r="D40" s="21">
        <f>D37*1.2</f>
        <v>8.76</v>
      </c>
    </row>
    <row r="41" spans="1:4" ht="18.75" customHeight="1" x14ac:dyDescent="0.25">
      <c r="A41" s="11" t="s">
        <v>321</v>
      </c>
      <c r="B41" s="11"/>
      <c r="C41" s="11"/>
      <c r="D41" s="11"/>
    </row>
    <row r="42" spans="1:4" ht="30" x14ac:dyDescent="0.25">
      <c r="A42" s="18" t="s">
        <v>320</v>
      </c>
      <c r="B42" s="19" t="s">
        <v>61</v>
      </c>
      <c r="C42" s="20" t="s">
        <v>8</v>
      </c>
      <c r="D42" s="21">
        <f>1.9*0.9*14</f>
        <v>23.939999999999998</v>
      </c>
    </row>
    <row r="43" spans="1:4" ht="45" x14ac:dyDescent="0.25">
      <c r="A43" s="18">
        <v>16</v>
      </c>
      <c r="B43" s="19" t="s">
        <v>63</v>
      </c>
      <c r="C43" s="20" t="s">
        <v>8</v>
      </c>
      <c r="D43" s="21">
        <f>(7.7+5)*4</f>
        <v>50.8</v>
      </c>
    </row>
    <row r="44" spans="1:4" x14ac:dyDescent="0.25">
      <c r="A44" s="18" t="s">
        <v>182</v>
      </c>
      <c r="B44" s="23" t="s">
        <v>64</v>
      </c>
      <c r="C44" s="20" t="s">
        <v>8</v>
      </c>
      <c r="D44" s="21">
        <f>D43</f>
        <v>50.8</v>
      </c>
    </row>
    <row r="45" spans="1:4" x14ac:dyDescent="0.25">
      <c r="A45" s="18" t="s">
        <v>183</v>
      </c>
      <c r="B45" s="23" t="s">
        <v>62</v>
      </c>
      <c r="C45" s="20" t="s">
        <v>4</v>
      </c>
      <c r="D45" s="17">
        <f>D44*2</f>
        <v>101.6</v>
      </c>
    </row>
    <row r="46" spans="1:4" ht="30" x14ac:dyDescent="0.25">
      <c r="A46" s="18" t="s">
        <v>322</v>
      </c>
      <c r="B46" s="19" t="s">
        <v>27</v>
      </c>
      <c r="C46" s="20" t="s">
        <v>17</v>
      </c>
      <c r="D46" s="21">
        <f>(7.7+5)*3*0.55+(7.7+5)*(0.2+0.2)</f>
        <v>26.034999999999997</v>
      </c>
    </row>
    <row r="47" spans="1:4" ht="30" x14ac:dyDescent="0.25">
      <c r="A47" s="18" t="s">
        <v>233</v>
      </c>
      <c r="B47" s="23" t="s">
        <v>28</v>
      </c>
      <c r="C47" s="20" t="s">
        <v>17</v>
      </c>
      <c r="D47" s="21">
        <f>D46*1.2</f>
        <v>31.241999999999994</v>
      </c>
    </row>
    <row r="48" spans="1:4" ht="45" x14ac:dyDescent="0.25">
      <c r="A48" s="18" t="s">
        <v>323</v>
      </c>
      <c r="B48" s="19" t="s">
        <v>24</v>
      </c>
      <c r="C48" s="20" t="s">
        <v>8</v>
      </c>
      <c r="D48" s="21">
        <f>2*24</f>
        <v>48</v>
      </c>
    </row>
    <row r="49" spans="1:4" x14ac:dyDescent="0.25">
      <c r="A49" s="18" t="s">
        <v>38</v>
      </c>
      <c r="B49" s="23" t="s">
        <v>25</v>
      </c>
      <c r="C49" s="20" t="s">
        <v>8</v>
      </c>
      <c r="D49" s="21">
        <f>D48</f>
        <v>48</v>
      </c>
    </row>
    <row r="50" spans="1:4" x14ac:dyDescent="0.25">
      <c r="A50" s="18" t="s">
        <v>184</v>
      </c>
      <c r="B50" s="23" t="s">
        <v>26</v>
      </c>
      <c r="C50" s="20" t="s">
        <v>4</v>
      </c>
      <c r="D50" s="17">
        <f>D49*2</f>
        <v>96</v>
      </c>
    </row>
    <row r="51" spans="1:4" ht="30" x14ac:dyDescent="0.25">
      <c r="A51" s="18" t="s">
        <v>324</v>
      </c>
      <c r="B51" s="19" t="s">
        <v>29</v>
      </c>
      <c r="C51" s="20" t="s">
        <v>17</v>
      </c>
      <c r="D51" s="21">
        <f>21*2*0.55+2*0.1*2</f>
        <v>23.5</v>
      </c>
    </row>
    <row r="52" spans="1:4" x14ac:dyDescent="0.25">
      <c r="A52" s="18" t="s">
        <v>49</v>
      </c>
      <c r="B52" s="23" t="s">
        <v>30</v>
      </c>
      <c r="C52" s="20" t="s">
        <v>17</v>
      </c>
      <c r="D52" s="21">
        <f>D51*1.2</f>
        <v>28.2</v>
      </c>
    </row>
    <row r="53" spans="1:4" ht="45" x14ac:dyDescent="0.25">
      <c r="A53" s="24" t="s">
        <v>325</v>
      </c>
      <c r="B53" s="25" t="s">
        <v>32</v>
      </c>
      <c r="C53" s="15" t="s">
        <v>5</v>
      </c>
      <c r="D53" s="26">
        <f>(7.8+4.8)*2.2</f>
        <v>27.720000000000002</v>
      </c>
    </row>
    <row r="54" spans="1:4" ht="30" x14ac:dyDescent="0.25">
      <c r="A54" s="24" t="s">
        <v>65</v>
      </c>
      <c r="B54" s="27" t="s">
        <v>31</v>
      </c>
      <c r="C54" s="15" t="s">
        <v>17</v>
      </c>
      <c r="D54" s="26">
        <f>D53*1.2</f>
        <v>33.264000000000003</v>
      </c>
    </row>
    <row r="55" spans="1:4" x14ac:dyDescent="0.25">
      <c r="A55" s="24" t="s">
        <v>185</v>
      </c>
      <c r="B55" s="27" t="s">
        <v>51</v>
      </c>
      <c r="C55" s="15" t="s">
        <v>8</v>
      </c>
      <c r="D55" s="26">
        <f>24*2.2</f>
        <v>52.800000000000004</v>
      </c>
    </row>
    <row r="56" spans="1:4" x14ac:dyDescent="0.25">
      <c r="A56" s="24" t="s">
        <v>234</v>
      </c>
      <c r="B56" s="27" t="s">
        <v>26</v>
      </c>
      <c r="C56" s="15" t="s">
        <v>4</v>
      </c>
      <c r="D56" s="28">
        <f>D55*4</f>
        <v>211.20000000000002</v>
      </c>
    </row>
    <row r="57" spans="1:4" ht="30" x14ac:dyDescent="0.25">
      <c r="A57" s="18" t="s">
        <v>326</v>
      </c>
      <c r="B57" s="19" t="s">
        <v>40</v>
      </c>
      <c r="C57" s="20" t="s">
        <v>4</v>
      </c>
      <c r="D57" s="17">
        <v>1</v>
      </c>
    </row>
    <row r="58" spans="1:4" ht="30" x14ac:dyDescent="0.25">
      <c r="A58" s="18" t="s">
        <v>327</v>
      </c>
      <c r="B58" s="19" t="s">
        <v>50</v>
      </c>
      <c r="C58" s="20" t="s">
        <v>17</v>
      </c>
      <c r="D58" s="21">
        <f>(7.8+4.8)*2</f>
        <v>25.2</v>
      </c>
    </row>
    <row r="59" spans="1:4" x14ac:dyDescent="0.25">
      <c r="A59" s="18" t="s">
        <v>186</v>
      </c>
      <c r="B59" s="23" t="s">
        <v>66</v>
      </c>
      <c r="C59" s="20" t="s">
        <v>8</v>
      </c>
      <c r="D59" s="21">
        <f>D58*10*0.25</f>
        <v>63</v>
      </c>
    </row>
    <row r="60" spans="1:4" x14ac:dyDescent="0.25">
      <c r="A60" s="18" t="s">
        <v>187</v>
      </c>
      <c r="B60" s="23" t="s">
        <v>26</v>
      </c>
      <c r="C60" s="20" t="s">
        <v>4</v>
      </c>
      <c r="D60" s="17">
        <f>D58*10*3</f>
        <v>756</v>
      </c>
    </row>
    <row r="61" spans="1:4" x14ac:dyDescent="0.25">
      <c r="A61" s="33" t="s">
        <v>474</v>
      </c>
      <c r="B61" s="34"/>
      <c r="C61" s="34"/>
      <c r="D61" s="35"/>
    </row>
    <row r="62" spans="1:4" x14ac:dyDescent="0.25">
      <c r="A62" s="18" t="s">
        <v>328</v>
      </c>
      <c r="B62" s="19" t="s">
        <v>39</v>
      </c>
      <c r="C62" s="20" t="s">
        <v>17</v>
      </c>
      <c r="D62" s="21">
        <v>43</v>
      </c>
    </row>
    <row r="63" spans="1:4" x14ac:dyDescent="0.25">
      <c r="A63" s="18" t="s">
        <v>329</v>
      </c>
      <c r="B63" s="19" t="s">
        <v>154</v>
      </c>
      <c r="C63" s="20" t="s">
        <v>17</v>
      </c>
      <c r="D63" s="21">
        <v>43</v>
      </c>
    </row>
    <row r="64" spans="1:4" ht="45" x14ac:dyDescent="0.25">
      <c r="A64" s="18" t="s">
        <v>330</v>
      </c>
      <c r="B64" s="25" t="s">
        <v>153</v>
      </c>
      <c r="C64" s="20" t="s">
        <v>8</v>
      </c>
      <c r="D64" s="21">
        <f>1.5*15</f>
        <v>22.5</v>
      </c>
    </row>
    <row r="65" spans="1:6" x14ac:dyDescent="0.25">
      <c r="A65" s="18" t="s">
        <v>235</v>
      </c>
      <c r="B65" s="23" t="s">
        <v>67</v>
      </c>
      <c r="C65" s="20" t="s">
        <v>17</v>
      </c>
      <c r="D65" s="21">
        <f>D64*0.2*6</f>
        <v>27</v>
      </c>
    </row>
    <row r="66" spans="1:6" x14ac:dyDescent="0.25">
      <c r="A66" s="18" t="s">
        <v>236</v>
      </c>
      <c r="B66" s="23" t="s">
        <v>41</v>
      </c>
      <c r="C66" s="20" t="s">
        <v>4</v>
      </c>
      <c r="D66" s="17">
        <v>4</v>
      </c>
    </row>
    <row r="67" spans="1:6" ht="30" x14ac:dyDescent="0.25">
      <c r="A67" s="18" t="s">
        <v>331</v>
      </c>
      <c r="B67" s="19" t="s">
        <v>43</v>
      </c>
      <c r="C67" s="20" t="s">
        <v>45</v>
      </c>
      <c r="D67" s="21">
        <f>43*0.3-D64*0.3*0.2</f>
        <v>11.55</v>
      </c>
    </row>
    <row r="68" spans="1:6" x14ac:dyDescent="0.25">
      <c r="A68" s="29" t="s">
        <v>237</v>
      </c>
      <c r="B68" s="23" t="s">
        <v>44</v>
      </c>
      <c r="C68" s="20" t="s">
        <v>33</v>
      </c>
      <c r="D68" s="21">
        <f>ROUND(D67*35*1.2,2)</f>
        <v>485.1</v>
      </c>
    </row>
    <row r="69" spans="1:6" ht="30" x14ac:dyDescent="0.25">
      <c r="A69" s="18" t="s">
        <v>332</v>
      </c>
      <c r="B69" s="19" t="s">
        <v>69</v>
      </c>
      <c r="C69" s="20" t="s">
        <v>17</v>
      </c>
      <c r="D69" s="21">
        <v>23</v>
      </c>
    </row>
    <row r="70" spans="1:6" x14ac:dyDescent="0.25">
      <c r="A70" s="18" t="s">
        <v>68</v>
      </c>
      <c r="B70" s="23" t="s">
        <v>70</v>
      </c>
      <c r="C70" s="20" t="s">
        <v>4</v>
      </c>
      <c r="D70" s="17">
        <v>4</v>
      </c>
      <c r="F70" s="8"/>
    </row>
    <row r="71" spans="1:6" ht="30" x14ac:dyDescent="0.25">
      <c r="A71" s="18" t="s">
        <v>333</v>
      </c>
      <c r="B71" s="19" t="s">
        <v>217</v>
      </c>
      <c r="C71" s="20" t="s">
        <v>17</v>
      </c>
      <c r="D71" s="21">
        <v>23</v>
      </c>
    </row>
    <row r="72" spans="1:6" x14ac:dyDescent="0.25">
      <c r="A72" s="18" t="s">
        <v>9</v>
      </c>
      <c r="B72" s="23" t="s">
        <v>46</v>
      </c>
      <c r="C72" s="20" t="s">
        <v>8</v>
      </c>
      <c r="D72" s="21">
        <f>12*10+3*10</f>
        <v>150</v>
      </c>
      <c r="F72" s="8"/>
    </row>
    <row r="73" spans="1:6" ht="30" x14ac:dyDescent="0.25">
      <c r="A73" s="18" t="s">
        <v>334</v>
      </c>
      <c r="B73" s="19" t="s">
        <v>47</v>
      </c>
      <c r="C73" s="20" t="s">
        <v>17</v>
      </c>
      <c r="D73" s="21">
        <v>24</v>
      </c>
    </row>
    <row r="74" spans="1:6" ht="30" x14ac:dyDescent="0.25">
      <c r="A74" s="18" t="s">
        <v>10</v>
      </c>
      <c r="B74" s="23" t="s">
        <v>48</v>
      </c>
      <c r="C74" s="20" t="s">
        <v>4</v>
      </c>
      <c r="D74" s="17">
        <f>ROUND(D73/(1.2*1.8),0)</f>
        <v>11</v>
      </c>
      <c r="F74" s="8"/>
    </row>
    <row r="75" spans="1:6" ht="15.75" customHeight="1" x14ac:dyDescent="0.25">
      <c r="A75" s="11" t="s">
        <v>335</v>
      </c>
      <c r="B75" s="11"/>
      <c r="C75" s="11"/>
      <c r="D75" s="11"/>
      <c r="F75" s="8"/>
    </row>
    <row r="76" spans="1:6" ht="30" x14ac:dyDescent="0.25">
      <c r="A76" s="18" t="s">
        <v>336</v>
      </c>
      <c r="B76" s="19" t="s">
        <v>71</v>
      </c>
      <c r="C76" s="20" t="s">
        <v>4</v>
      </c>
      <c r="D76" s="21">
        <v>1</v>
      </c>
    </row>
    <row r="77" spans="1:6" ht="60" x14ac:dyDescent="0.25">
      <c r="A77" s="18" t="s">
        <v>337</v>
      </c>
      <c r="B77" s="19" t="s">
        <v>72</v>
      </c>
      <c r="C77" s="20" t="s">
        <v>4</v>
      </c>
      <c r="D77" s="21">
        <v>1</v>
      </c>
    </row>
    <row r="78" spans="1:6" ht="18" customHeight="1" x14ac:dyDescent="0.25">
      <c r="A78" s="11" t="s">
        <v>339</v>
      </c>
      <c r="B78" s="11"/>
      <c r="C78" s="11"/>
      <c r="D78" s="11"/>
      <c r="F78" s="8"/>
    </row>
    <row r="79" spans="1:6" ht="30" x14ac:dyDescent="0.25">
      <c r="A79" s="18" t="s">
        <v>338</v>
      </c>
      <c r="B79" s="25" t="s">
        <v>109</v>
      </c>
      <c r="C79" s="20" t="s">
        <v>17</v>
      </c>
      <c r="D79" s="21">
        <v>17.100000000000001</v>
      </c>
    </row>
    <row r="80" spans="1:6" ht="30" x14ac:dyDescent="0.25">
      <c r="A80" s="18" t="s">
        <v>340</v>
      </c>
      <c r="B80" s="25" t="s">
        <v>52</v>
      </c>
      <c r="C80" s="20" t="s">
        <v>17</v>
      </c>
      <c r="D80" s="21">
        <f>D79</f>
        <v>17.100000000000001</v>
      </c>
    </row>
    <row r="81" spans="1:4" ht="45" x14ac:dyDescent="0.25">
      <c r="A81" s="18" t="s">
        <v>341</v>
      </c>
      <c r="B81" s="30" t="s">
        <v>111</v>
      </c>
      <c r="C81" s="20" t="s">
        <v>8</v>
      </c>
      <c r="D81" s="21">
        <f>6*2+3.5+3.8+4.2+4.5+4.8+5.2+5.5+2.3+1.85+1.4+1+0.5</f>
        <v>50.55</v>
      </c>
    </row>
    <row r="82" spans="1:4" ht="30" x14ac:dyDescent="0.25">
      <c r="A82" s="18" t="s">
        <v>342</v>
      </c>
      <c r="B82" s="30" t="s">
        <v>73</v>
      </c>
      <c r="C82" s="20" t="s">
        <v>17</v>
      </c>
      <c r="D82" s="21">
        <f>18.3-3.2*0.075*6</f>
        <v>16.86</v>
      </c>
    </row>
    <row r="83" spans="1:4" ht="45" x14ac:dyDescent="0.25">
      <c r="A83" s="18" t="s">
        <v>343</v>
      </c>
      <c r="B83" s="19" t="s">
        <v>74</v>
      </c>
      <c r="C83" s="20" t="s">
        <v>8</v>
      </c>
      <c r="D83" s="21">
        <f>3.6*7+3.1*2+2*2+0.9*2+0.5+3.4+2.4*2+1.4*2+0.5</f>
        <v>49.199999999999989</v>
      </c>
    </row>
    <row r="84" spans="1:4" x14ac:dyDescent="0.25">
      <c r="A84" s="18" t="s">
        <v>238</v>
      </c>
      <c r="B84" s="23" t="s">
        <v>55</v>
      </c>
      <c r="C84" s="20" t="s">
        <v>8</v>
      </c>
      <c r="D84" s="21">
        <f>ROUND(D83*1.05,0)</f>
        <v>52</v>
      </c>
    </row>
    <row r="85" spans="1:4" x14ac:dyDescent="0.25">
      <c r="A85" s="18" t="s">
        <v>239</v>
      </c>
      <c r="B85" s="23" t="s">
        <v>75</v>
      </c>
      <c r="C85" s="20" t="s">
        <v>4</v>
      </c>
      <c r="D85" s="17">
        <f>ROUND(D84*5,0)</f>
        <v>260</v>
      </c>
    </row>
    <row r="86" spans="1:4" ht="45" x14ac:dyDescent="0.25">
      <c r="A86" s="18" t="s">
        <v>344</v>
      </c>
      <c r="B86" s="19" t="s">
        <v>77</v>
      </c>
      <c r="C86" s="20" t="s">
        <v>5</v>
      </c>
      <c r="D86" s="21">
        <v>21</v>
      </c>
    </row>
    <row r="87" spans="1:4" x14ac:dyDescent="0.25">
      <c r="A87" s="18" t="s">
        <v>240</v>
      </c>
      <c r="B87" s="23" t="s">
        <v>76</v>
      </c>
      <c r="C87" s="20" t="s">
        <v>4</v>
      </c>
      <c r="D87" s="17">
        <v>7</v>
      </c>
    </row>
    <row r="88" spans="1:4" x14ac:dyDescent="0.25">
      <c r="A88" s="18" t="s">
        <v>241</v>
      </c>
      <c r="B88" s="23" t="s">
        <v>78</v>
      </c>
      <c r="C88" s="20" t="s">
        <v>8</v>
      </c>
      <c r="D88" s="21">
        <f>D84</f>
        <v>52</v>
      </c>
    </row>
    <row r="89" spans="1:4" x14ac:dyDescent="0.25">
      <c r="A89" s="18" t="s">
        <v>242</v>
      </c>
      <c r="B89" s="23" t="s">
        <v>75</v>
      </c>
      <c r="C89" s="20" t="s">
        <v>4</v>
      </c>
      <c r="D89" s="17">
        <f>ROUND(D88*5,0)</f>
        <v>260</v>
      </c>
    </row>
    <row r="90" spans="1:4" x14ac:dyDescent="0.25">
      <c r="A90" s="18" t="s">
        <v>243</v>
      </c>
      <c r="B90" s="23" t="s">
        <v>123</v>
      </c>
      <c r="C90" s="20" t="s">
        <v>4</v>
      </c>
      <c r="D90" s="31">
        <v>0.5</v>
      </c>
    </row>
    <row r="91" spans="1:4" ht="45" x14ac:dyDescent="0.25">
      <c r="A91" s="18" t="s">
        <v>345</v>
      </c>
      <c r="B91" s="19" t="s">
        <v>79</v>
      </c>
      <c r="C91" s="20" t="s">
        <v>17</v>
      </c>
      <c r="D91" s="21">
        <f>8.4*0.1+3.1*0.1*2+3*0.1</f>
        <v>1.7600000000000002</v>
      </c>
    </row>
    <row r="92" spans="1:4" ht="45" x14ac:dyDescent="0.25">
      <c r="A92" s="18" t="s">
        <v>346</v>
      </c>
      <c r="B92" s="19" t="s">
        <v>80</v>
      </c>
      <c r="C92" s="20" t="s">
        <v>4</v>
      </c>
      <c r="D92" s="17">
        <v>12</v>
      </c>
    </row>
    <row r="93" spans="1:4" ht="30" x14ac:dyDescent="0.25">
      <c r="A93" s="18" t="s">
        <v>347</v>
      </c>
      <c r="B93" s="19" t="s">
        <v>22</v>
      </c>
      <c r="C93" s="20" t="s">
        <v>17</v>
      </c>
      <c r="D93" s="21">
        <v>2.5</v>
      </c>
    </row>
    <row r="94" spans="1:4" x14ac:dyDescent="0.25">
      <c r="A94" s="18" t="s">
        <v>244</v>
      </c>
      <c r="B94" s="23" t="s">
        <v>23</v>
      </c>
      <c r="C94" s="20" t="s">
        <v>4</v>
      </c>
      <c r="D94" s="17">
        <f>ROUND(D93*30/25,0)</f>
        <v>3</v>
      </c>
    </row>
    <row r="95" spans="1:4" ht="45" x14ac:dyDescent="0.25">
      <c r="A95" s="18" t="s">
        <v>348</v>
      </c>
      <c r="B95" s="19" t="s">
        <v>113</v>
      </c>
      <c r="C95" s="20" t="s">
        <v>17</v>
      </c>
      <c r="D95" s="21">
        <f>6.4*0.25</f>
        <v>1.6</v>
      </c>
    </row>
    <row r="96" spans="1:4" ht="30" x14ac:dyDescent="0.25">
      <c r="A96" s="18" t="s">
        <v>245</v>
      </c>
      <c r="B96" s="23" t="s">
        <v>59</v>
      </c>
      <c r="C96" s="20" t="s">
        <v>4</v>
      </c>
      <c r="D96" s="17">
        <f>ROUND(D95/0.6*1.25,0)</f>
        <v>3</v>
      </c>
    </row>
    <row r="97" spans="1:4" ht="30" x14ac:dyDescent="0.25">
      <c r="A97" s="18" t="s">
        <v>349</v>
      </c>
      <c r="B97" s="30" t="s">
        <v>82</v>
      </c>
      <c r="C97" s="20" t="s">
        <v>8</v>
      </c>
      <c r="D97" s="21">
        <f>3.6*4+3+2+0.8+3.4+2.4+1.3+0.5</f>
        <v>27.799999999999997</v>
      </c>
    </row>
    <row r="98" spans="1:4" x14ac:dyDescent="0.25">
      <c r="A98" s="18" t="s">
        <v>81</v>
      </c>
      <c r="B98" s="23" t="s">
        <v>84</v>
      </c>
      <c r="C98" s="20" t="s">
        <v>8</v>
      </c>
      <c r="D98" s="21">
        <f>D97*1.1</f>
        <v>30.58</v>
      </c>
    </row>
    <row r="99" spans="1:4" x14ac:dyDescent="0.25">
      <c r="A99" s="18" t="s">
        <v>246</v>
      </c>
      <c r="B99" s="23" t="s">
        <v>85</v>
      </c>
      <c r="C99" s="20" t="s">
        <v>4</v>
      </c>
      <c r="D99" s="17">
        <f>D98*3</f>
        <v>91.74</v>
      </c>
    </row>
    <row r="100" spans="1:4" ht="45" x14ac:dyDescent="0.25">
      <c r="A100" s="18" t="s">
        <v>350</v>
      </c>
      <c r="B100" s="19" t="s">
        <v>124</v>
      </c>
      <c r="C100" s="20" t="s">
        <v>17</v>
      </c>
      <c r="D100" s="21">
        <v>21</v>
      </c>
    </row>
    <row r="101" spans="1:4" ht="30" x14ac:dyDescent="0.25">
      <c r="A101" s="18" t="s">
        <v>83</v>
      </c>
      <c r="B101" s="23" t="s">
        <v>28</v>
      </c>
      <c r="C101" s="20" t="s">
        <v>17</v>
      </c>
      <c r="D101" s="21">
        <f>D100*2*1.2</f>
        <v>50.4</v>
      </c>
    </row>
    <row r="102" spans="1:4" x14ac:dyDescent="0.25">
      <c r="A102" s="18" t="s">
        <v>351</v>
      </c>
      <c r="B102" s="19" t="s">
        <v>87</v>
      </c>
      <c r="C102" s="20" t="s">
        <v>17</v>
      </c>
      <c r="D102" s="21">
        <v>20</v>
      </c>
    </row>
    <row r="103" spans="1:4" x14ac:dyDescent="0.25">
      <c r="A103" s="18" t="s">
        <v>86</v>
      </c>
      <c r="B103" s="23" t="s">
        <v>88</v>
      </c>
      <c r="C103" s="20" t="s">
        <v>17</v>
      </c>
      <c r="D103" s="21">
        <f>D102*1.2</f>
        <v>24</v>
      </c>
    </row>
    <row r="104" spans="1:4" x14ac:dyDescent="0.25">
      <c r="A104" s="24" t="s">
        <v>188</v>
      </c>
      <c r="B104" s="27" t="s">
        <v>51</v>
      </c>
      <c r="C104" s="15" t="s">
        <v>8</v>
      </c>
      <c r="D104" s="26">
        <f>D97*1.2</f>
        <v>33.359999999999992</v>
      </c>
    </row>
    <row r="105" spans="1:4" x14ac:dyDescent="0.25">
      <c r="A105" s="18" t="s">
        <v>247</v>
      </c>
      <c r="B105" s="23" t="s">
        <v>56</v>
      </c>
      <c r="C105" s="20" t="s">
        <v>4</v>
      </c>
      <c r="D105" s="17">
        <f>D104*5</f>
        <v>166.79999999999995</v>
      </c>
    </row>
    <row r="106" spans="1:4" ht="30" x14ac:dyDescent="0.25">
      <c r="A106" s="18" t="s">
        <v>352</v>
      </c>
      <c r="B106" s="30" t="s">
        <v>89</v>
      </c>
      <c r="C106" s="20" t="s">
        <v>8</v>
      </c>
      <c r="D106" s="21">
        <f>5.5+5.1+4.8+4.5+4.1+3.8+3.4+3.1+2.7+2.4+2+1.7+1.4+1+0.7+0.4</f>
        <v>46.6</v>
      </c>
    </row>
    <row r="107" spans="1:4" x14ac:dyDescent="0.25">
      <c r="A107" s="18" t="s">
        <v>91</v>
      </c>
      <c r="B107" s="23" t="s">
        <v>90</v>
      </c>
      <c r="C107" s="20" t="s">
        <v>8</v>
      </c>
      <c r="D107" s="21">
        <f>D106*1.1</f>
        <v>51.260000000000005</v>
      </c>
    </row>
    <row r="108" spans="1:4" x14ac:dyDescent="0.25">
      <c r="A108" s="18" t="s">
        <v>248</v>
      </c>
      <c r="B108" s="23" t="s">
        <v>85</v>
      </c>
      <c r="C108" s="20" t="s">
        <v>4</v>
      </c>
      <c r="D108" s="17">
        <f>D107*1.75</f>
        <v>89.705000000000013</v>
      </c>
    </row>
    <row r="109" spans="1:4" ht="30" x14ac:dyDescent="0.25">
      <c r="A109" s="18" t="s">
        <v>353</v>
      </c>
      <c r="B109" s="30" t="s">
        <v>127</v>
      </c>
      <c r="C109" s="20" t="s">
        <v>8</v>
      </c>
      <c r="D109" s="21">
        <f>(5.5+5.1+4.8+4.5+4.1+3.8+3.4+2.7+2.4+2+1.7+1.4+1+0.7)*2</f>
        <v>86.2</v>
      </c>
    </row>
    <row r="110" spans="1:4" ht="30" x14ac:dyDescent="0.25">
      <c r="A110" s="18" t="s">
        <v>92</v>
      </c>
      <c r="B110" s="27" t="s">
        <v>137</v>
      </c>
      <c r="C110" s="20" t="s">
        <v>8</v>
      </c>
      <c r="D110" s="21">
        <f>D109*1.2</f>
        <v>103.44</v>
      </c>
    </row>
    <row r="111" spans="1:4" x14ac:dyDescent="0.25">
      <c r="A111" s="18" t="s">
        <v>93</v>
      </c>
      <c r="B111" s="23" t="s">
        <v>56</v>
      </c>
      <c r="C111" s="20" t="s">
        <v>4</v>
      </c>
      <c r="D111" s="17">
        <f>D110*1.8</f>
        <v>186.19200000000001</v>
      </c>
    </row>
    <row r="112" spans="1:4" ht="30" x14ac:dyDescent="0.25">
      <c r="A112" s="18" t="s">
        <v>354</v>
      </c>
      <c r="B112" s="19" t="s">
        <v>96</v>
      </c>
      <c r="C112" s="20" t="s">
        <v>17</v>
      </c>
      <c r="D112" s="21">
        <v>17</v>
      </c>
    </row>
    <row r="113" spans="1:6" x14ac:dyDescent="0.25">
      <c r="A113" s="18" t="s">
        <v>94</v>
      </c>
      <c r="B113" s="23" t="s">
        <v>97</v>
      </c>
      <c r="C113" s="20" t="s">
        <v>17</v>
      </c>
      <c r="D113" s="21">
        <f>D112*1.2</f>
        <v>20.399999999999999</v>
      </c>
    </row>
    <row r="114" spans="1:6" x14ac:dyDescent="0.25">
      <c r="A114" s="18" t="s">
        <v>355</v>
      </c>
      <c r="B114" s="19" t="s">
        <v>98</v>
      </c>
      <c r="C114" s="20" t="s">
        <v>17</v>
      </c>
      <c r="D114" s="21">
        <v>17</v>
      </c>
    </row>
    <row r="115" spans="1:6" x14ac:dyDescent="0.25">
      <c r="A115" s="18" t="s">
        <v>95</v>
      </c>
      <c r="B115" s="23" t="s">
        <v>99</v>
      </c>
      <c r="C115" s="20" t="s">
        <v>17</v>
      </c>
      <c r="D115" s="21">
        <f>D114*1.2</f>
        <v>20.399999999999999</v>
      </c>
    </row>
    <row r="116" spans="1:6" x14ac:dyDescent="0.25">
      <c r="A116" s="18" t="s">
        <v>189</v>
      </c>
      <c r="B116" s="23" t="s">
        <v>100</v>
      </c>
      <c r="C116" s="20" t="s">
        <v>17</v>
      </c>
      <c r="D116" s="21">
        <f>D113*17</f>
        <v>346.79999999999995</v>
      </c>
    </row>
    <row r="117" spans="1:6" x14ac:dyDescent="0.25">
      <c r="A117" s="18" t="s">
        <v>249</v>
      </c>
      <c r="B117" s="23" t="s">
        <v>101</v>
      </c>
      <c r="C117" s="20" t="s">
        <v>33</v>
      </c>
      <c r="D117" s="21">
        <f>D114*0.3</f>
        <v>5.0999999999999996</v>
      </c>
    </row>
    <row r="118" spans="1:6" x14ac:dyDescent="0.25">
      <c r="A118" s="18" t="s">
        <v>250</v>
      </c>
      <c r="B118" s="23" t="s">
        <v>102</v>
      </c>
      <c r="C118" s="20" t="s">
        <v>8</v>
      </c>
      <c r="D118" s="21">
        <f>D114*0.45</f>
        <v>7.65</v>
      </c>
    </row>
    <row r="119" spans="1:6" x14ac:dyDescent="0.25">
      <c r="A119" s="18" t="s">
        <v>356</v>
      </c>
      <c r="B119" s="19" t="s">
        <v>103</v>
      </c>
      <c r="C119" s="20" t="s">
        <v>8</v>
      </c>
      <c r="D119" s="21">
        <f>8.4+3.1*2+3</f>
        <v>17.600000000000001</v>
      </c>
    </row>
    <row r="120" spans="1:6" x14ac:dyDescent="0.25">
      <c r="A120" s="18" t="s">
        <v>357</v>
      </c>
      <c r="B120" s="19" t="s">
        <v>104</v>
      </c>
      <c r="C120" s="20" t="s">
        <v>17</v>
      </c>
      <c r="D120" s="21">
        <f>D114</f>
        <v>17</v>
      </c>
    </row>
    <row r="121" spans="1:6" x14ac:dyDescent="0.25">
      <c r="A121" s="18" t="s">
        <v>190</v>
      </c>
      <c r="B121" s="23" t="s">
        <v>101</v>
      </c>
      <c r="C121" s="20" t="s">
        <v>33</v>
      </c>
      <c r="D121" s="21">
        <f>ROUND(D118*1.35,2)</f>
        <v>10.33</v>
      </c>
    </row>
    <row r="122" spans="1:6" ht="30" x14ac:dyDescent="0.25">
      <c r="A122" s="18" t="s">
        <v>358</v>
      </c>
      <c r="B122" s="19" t="s">
        <v>105</v>
      </c>
      <c r="C122" s="20" t="s">
        <v>17</v>
      </c>
      <c r="D122" s="21">
        <f>D114</f>
        <v>17</v>
      </c>
    </row>
    <row r="123" spans="1:6" ht="30" x14ac:dyDescent="0.25">
      <c r="A123" s="18" t="s">
        <v>359</v>
      </c>
      <c r="B123" s="19" t="s">
        <v>106</v>
      </c>
      <c r="C123" s="20" t="s">
        <v>17</v>
      </c>
      <c r="D123" s="21">
        <f>D114</f>
        <v>17</v>
      </c>
    </row>
    <row r="124" spans="1:6" x14ac:dyDescent="0.25">
      <c r="A124" s="18" t="s">
        <v>191</v>
      </c>
      <c r="B124" s="23" t="s">
        <v>107</v>
      </c>
      <c r="C124" s="20" t="s">
        <v>108</v>
      </c>
      <c r="D124" s="21">
        <f>D123/8*2</f>
        <v>4.25</v>
      </c>
    </row>
    <row r="125" spans="1:6" ht="13.5" customHeight="1" x14ac:dyDescent="0.25">
      <c r="A125" s="11" t="s">
        <v>360</v>
      </c>
      <c r="B125" s="11"/>
      <c r="C125" s="11"/>
      <c r="D125" s="11"/>
      <c r="F125" s="8"/>
    </row>
    <row r="126" spans="1:6" ht="30" x14ac:dyDescent="0.25">
      <c r="A126" s="18" t="s">
        <v>361</v>
      </c>
      <c r="B126" s="25" t="s">
        <v>109</v>
      </c>
      <c r="C126" s="20" t="s">
        <v>17</v>
      </c>
      <c r="D126" s="21">
        <f>3.2*4.6</f>
        <v>14.719999999999999</v>
      </c>
    </row>
    <row r="127" spans="1:6" ht="30" x14ac:dyDescent="0.25">
      <c r="A127" s="18" t="s">
        <v>362</v>
      </c>
      <c r="B127" s="25" t="s">
        <v>52</v>
      </c>
      <c r="C127" s="20" t="s">
        <v>17</v>
      </c>
      <c r="D127" s="21">
        <f>D126</f>
        <v>14.719999999999999</v>
      </c>
    </row>
    <row r="128" spans="1:6" ht="30" x14ac:dyDescent="0.25">
      <c r="A128" s="18" t="s">
        <v>363</v>
      </c>
      <c r="B128" s="30" t="s">
        <v>110</v>
      </c>
      <c r="C128" s="20" t="s">
        <v>8</v>
      </c>
      <c r="D128" s="21">
        <f>4.6*8</f>
        <v>36.799999999999997</v>
      </c>
    </row>
    <row r="129" spans="1:4" ht="30" x14ac:dyDescent="0.25">
      <c r="A129" s="18" t="s">
        <v>364</v>
      </c>
      <c r="B129" s="30" t="s">
        <v>73</v>
      </c>
      <c r="C129" s="20" t="s">
        <v>17</v>
      </c>
      <c r="D129" s="21">
        <v>14</v>
      </c>
    </row>
    <row r="130" spans="1:4" ht="60" x14ac:dyDescent="0.25">
      <c r="A130" s="18" t="s">
        <v>365</v>
      </c>
      <c r="B130" s="19" t="s">
        <v>112</v>
      </c>
      <c r="C130" s="20" t="s">
        <v>8</v>
      </c>
      <c r="D130" s="21">
        <f>4.4*12</f>
        <v>52.800000000000004</v>
      </c>
    </row>
    <row r="131" spans="1:4" x14ac:dyDescent="0.25">
      <c r="A131" s="18" t="s">
        <v>251</v>
      </c>
      <c r="B131" s="23" t="s">
        <v>55</v>
      </c>
      <c r="C131" s="20" t="s">
        <v>8</v>
      </c>
      <c r="D131" s="21">
        <f>ROUND(D130*1.05,0)</f>
        <v>55</v>
      </c>
    </row>
    <row r="132" spans="1:4" x14ac:dyDescent="0.25">
      <c r="A132" s="18" t="s">
        <v>252</v>
      </c>
      <c r="B132" s="23" t="s">
        <v>75</v>
      </c>
      <c r="C132" s="20" t="s">
        <v>4</v>
      </c>
      <c r="D132" s="17">
        <f>ROUND(D131*5,0)</f>
        <v>275</v>
      </c>
    </row>
    <row r="133" spans="1:4" ht="45" x14ac:dyDescent="0.25">
      <c r="A133" s="18" t="s">
        <v>366</v>
      </c>
      <c r="B133" s="25" t="s">
        <v>77</v>
      </c>
      <c r="C133" s="15" t="s">
        <v>5</v>
      </c>
      <c r="D133" s="26">
        <v>18.3</v>
      </c>
    </row>
    <row r="134" spans="1:4" x14ac:dyDescent="0.25">
      <c r="A134" s="18" t="s">
        <v>253</v>
      </c>
      <c r="B134" s="27" t="s">
        <v>76</v>
      </c>
      <c r="C134" s="15" t="s">
        <v>4</v>
      </c>
      <c r="D134" s="28">
        <v>7</v>
      </c>
    </row>
    <row r="135" spans="1:4" x14ac:dyDescent="0.25">
      <c r="A135" s="18" t="s">
        <v>254</v>
      </c>
      <c r="B135" s="27" t="s">
        <v>78</v>
      </c>
      <c r="C135" s="15" t="s">
        <v>8</v>
      </c>
      <c r="D135" s="26">
        <f>D131</f>
        <v>55</v>
      </c>
    </row>
    <row r="136" spans="1:4" x14ac:dyDescent="0.25">
      <c r="A136" s="18" t="s">
        <v>255</v>
      </c>
      <c r="B136" s="27" t="s">
        <v>75</v>
      </c>
      <c r="C136" s="15" t="s">
        <v>4</v>
      </c>
      <c r="D136" s="28">
        <f>ROUND(D135*5,0)</f>
        <v>275</v>
      </c>
    </row>
    <row r="137" spans="1:4" x14ac:dyDescent="0.25">
      <c r="A137" s="18" t="s">
        <v>256</v>
      </c>
      <c r="B137" s="27" t="s">
        <v>123</v>
      </c>
      <c r="C137" s="15" t="s">
        <v>4</v>
      </c>
      <c r="D137" s="28">
        <v>1</v>
      </c>
    </row>
    <row r="138" spans="1:4" ht="45" x14ac:dyDescent="0.25">
      <c r="A138" s="18" t="s">
        <v>367</v>
      </c>
      <c r="B138" s="25" t="s">
        <v>79</v>
      </c>
      <c r="C138" s="15" t="s">
        <v>17</v>
      </c>
      <c r="D138" s="26">
        <f>(4.7*2+3.1*2)*0.1</f>
        <v>1.5600000000000003</v>
      </c>
    </row>
    <row r="139" spans="1:4" ht="45" x14ac:dyDescent="0.25">
      <c r="A139" s="18" t="s">
        <v>368</v>
      </c>
      <c r="B139" s="25" t="s">
        <v>80</v>
      </c>
      <c r="C139" s="15" t="s">
        <v>4</v>
      </c>
      <c r="D139" s="28">
        <v>17</v>
      </c>
    </row>
    <row r="140" spans="1:4" ht="30" x14ac:dyDescent="0.25">
      <c r="A140" s="18" t="s">
        <v>369</v>
      </c>
      <c r="B140" s="25" t="s">
        <v>22</v>
      </c>
      <c r="C140" s="15" t="s">
        <v>17</v>
      </c>
      <c r="D140" s="26">
        <f>3.2*0.35</f>
        <v>1.1199999999999999</v>
      </c>
    </row>
    <row r="141" spans="1:4" x14ac:dyDescent="0.25">
      <c r="A141" s="18" t="s">
        <v>257</v>
      </c>
      <c r="B141" s="27" t="s">
        <v>23</v>
      </c>
      <c r="C141" s="15" t="s">
        <v>4</v>
      </c>
      <c r="D141" s="28">
        <f>ROUND(D140*30/25,0)</f>
        <v>1</v>
      </c>
    </row>
    <row r="142" spans="1:4" ht="45" x14ac:dyDescent="0.25">
      <c r="A142" s="18" t="s">
        <v>370</v>
      </c>
      <c r="B142" s="25" t="s">
        <v>113</v>
      </c>
      <c r="C142" s="15" t="s">
        <v>17</v>
      </c>
      <c r="D142" s="26">
        <f>3.2*0.25</f>
        <v>0.8</v>
      </c>
    </row>
    <row r="143" spans="1:4" ht="30" x14ac:dyDescent="0.25">
      <c r="A143" s="18" t="s">
        <v>258</v>
      </c>
      <c r="B143" s="27" t="s">
        <v>59</v>
      </c>
      <c r="C143" s="15" t="s">
        <v>4</v>
      </c>
      <c r="D143" s="17">
        <f>ROUND(D142/0.6*1.25,0)</f>
        <v>2</v>
      </c>
    </row>
    <row r="144" spans="1:4" ht="30" x14ac:dyDescent="0.25">
      <c r="A144" s="18" t="s">
        <v>371</v>
      </c>
      <c r="B144" s="30" t="s">
        <v>82</v>
      </c>
      <c r="C144" s="15" t="s">
        <v>8</v>
      </c>
      <c r="D144" s="26">
        <f>3.7*7</f>
        <v>25.900000000000002</v>
      </c>
    </row>
    <row r="145" spans="1:4" x14ac:dyDescent="0.25">
      <c r="A145" s="18" t="s">
        <v>114</v>
      </c>
      <c r="B145" s="27" t="s">
        <v>84</v>
      </c>
      <c r="C145" s="15" t="s">
        <v>8</v>
      </c>
      <c r="D145" s="26">
        <f>D144*1.1</f>
        <v>28.490000000000006</v>
      </c>
    </row>
    <row r="146" spans="1:4" x14ac:dyDescent="0.25">
      <c r="A146" s="18" t="s">
        <v>259</v>
      </c>
      <c r="B146" s="27" t="s">
        <v>85</v>
      </c>
      <c r="C146" s="15" t="s">
        <v>4</v>
      </c>
      <c r="D146" s="28">
        <f>D145*3</f>
        <v>85.470000000000013</v>
      </c>
    </row>
    <row r="147" spans="1:4" ht="45" x14ac:dyDescent="0.25">
      <c r="A147" s="18" t="s">
        <v>372</v>
      </c>
      <c r="B147" s="25" t="s">
        <v>124</v>
      </c>
      <c r="C147" s="15" t="s">
        <v>17</v>
      </c>
      <c r="D147" s="26">
        <v>16</v>
      </c>
    </row>
    <row r="148" spans="1:4" ht="30" x14ac:dyDescent="0.25">
      <c r="A148" s="18" t="s">
        <v>115</v>
      </c>
      <c r="B148" s="27" t="s">
        <v>28</v>
      </c>
      <c r="C148" s="15" t="s">
        <v>17</v>
      </c>
      <c r="D148" s="26">
        <f>D147*2*1.2</f>
        <v>38.4</v>
      </c>
    </row>
    <row r="149" spans="1:4" x14ac:dyDescent="0.25">
      <c r="A149" s="18" t="s">
        <v>373</v>
      </c>
      <c r="B149" s="25" t="s">
        <v>87</v>
      </c>
      <c r="C149" s="15" t="s">
        <v>17</v>
      </c>
      <c r="D149" s="26">
        <v>16</v>
      </c>
    </row>
    <row r="150" spans="1:4" x14ac:dyDescent="0.25">
      <c r="A150" s="18" t="s">
        <v>116</v>
      </c>
      <c r="B150" s="27" t="s">
        <v>88</v>
      </c>
      <c r="C150" s="15" t="s">
        <v>17</v>
      </c>
      <c r="D150" s="26">
        <f>D149*1.2</f>
        <v>19.2</v>
      </c>
    </row>
    <row r="151" spans="1:4" x14ac:dyDescent="0.25">
      <c r="A151" s="24" t="s">
        <v>192</v>
      </c>
      <c r="B151" s="27" t="s">
        <v>51</v>
      </c>
      <c r="C151" s="15" t="s">
        <v>8</v>
      </c>
      <c r="D151" s="26">
        <f>D144*1.2</f>
        <v>31.080000000000002</v>
      </c>
    </row>
    <row r="152" spans="1:4" x14ac:dyDescent="0.25">
      <c r="A152" s="18" t="s">
        <v>260</v>
      </c>
      <c r="B152" s="27" t="s">
        <v>56</v>
      </c>
      <c r="C152" s="15" t="s">
        <v>4</v>
      </c>
      <c r="D152" s="28">
        <f>D151*5</f>
        <v>155.4</v>
      </c>
    </row>
    <row r="153" spans="1:4" ht="30" x14ac:dyDescent="0.25">
      <c r="A153" s="18" t="s">
        <v>374</v>
      </c>
      <c r="B153" s="30" t="s">
        <v>89</v>
      </c>
      <c r="C153" s="15" t="s">
        <v>8</v>
      </c>
      <c r="D153" s="21">
        <f>4.6*9</f>
        <v>41.4</v>
      </c>
    </row>
    <row r="154" spans="1:4" x14ac:dyDescent="0.25">
      <c r="A154" s="18" t="s">
        <v>117</v>
      </c>
      <c r="B154" s="27" t="s">
        <v>90</v>
      </c>
      <c r="C154" s="15" t="s">
        <v>8</v>
      </c>
      <c r="D154" s="26">
        <f>D153*1.1</f>
        <v>45.54</v>
      </c>
    </row>
    <row r="155" spans="1:4" x14ac:dyDescent="0.25">
      <c r="A155" s="18" t="s">
        <v>261</v>
      </c>
      <c r="B155" s="27" t="s">
        <v>85</v>
      </c>
      <c r="C155" s="15" t="s">
        <v>4</v>
      </c>
      <c r="D155" s="28">
        <f>D154*1.75</f>
        <v>79.694999999999993</v>
      </c>
    </row>
    <row r="156" spans="1:4" ht="45" x14ac:dyDescent="0.25">
      <c r="A156" s="18" t="s">
        <v>375</v>
      </c>
      <c r="B156" s="30" t="s">
        <v>162</v>
      </c>
      <c r="C156" s="15" t="s">
        <v>8</v>
      </c>
      <c r="D156" s="26">
        <f>4.6*8*2</f>
        <v>73.599999999999994</v>
      </c>
    </row>
    <row r="157" spans="1:4" ht="30" x14ac:dyDescent="0.25">
      <c r="A157" s="18" t="s">
        <v>118</v>
      </c>
      <c r="B157" s="27" t="s">
        <v>137</v>
      </c>
      <c r="C157" s="15" t="s">
        <v>8</v>
      </c>
      <c r="D157" s="26">
        <f>D156*1.2</f>
        <v>88.32</v>
      </c>
    </row>
    <row r="158" spans="1:4" x14ac:dyDescent="0.25">
      <c r="A158" s="18" t="s">
        <v>119</v>
      </c>
      <c r="B158" s="27" t="s">
        <v>56</v>
      </c>
      <c r="C158" s="15" t="s">
        <v>4</v>
      </c>
      <c r="D158" s="28">
        <f>D157*1.8</f>
        <v>158.976</v>
      </c>
    </row>
    <row r="159" spans="1:4" ht="30" x14ac:dyDescent="0.25">
      <c r="A159" s="18" t="s">
        <v>376</v>
      </c>
      <c r="B159" s="25" t="s">
        <v>96</v>
      </c>
      <c r="C159" s="15" t="s">
        <v>17</v>
      </c>
      <c r="D159" s="26">
        <v>15.5</v>
      </c>
    </row>
    <row r="160" spans="1:4" x14ac:dyDescent="0.25">
      <c r="A160" s="18" t="s">
        <v>120</v>
      </c>
      <c r="B160" s="27" t="s">
        <v>97</v>
      </c>
      <c r="C160" s="15" t="s">
        <v>17</v>
      </c>
      <c r="D160" s="26">
        <f>D159*1.2</f>
        <v>18.599999999999998</v>
      </c>
    </row>
    <row r="161" spans="1:4" x14ac:dyDescent="0.25">
      <c r="A161" s="18" t="s">
        <v>377</v>
      </c>
      <c r="B161" s="25" t="s">
        <v>98</v>
      </c>
      <c r="C161" s="15" t="s">
        <v>17</v>
      </c>
      <c r="D161" s="26">
        <f>4.7*3.3</f>
        <v>15.51</v>
      </c>
    </row>
    <row r="162" spans="1:4" x14ac:dyDescent="0.25">
      <c r="A162" s="18" t="s">
        <v>121</v>
      </c>
      <c r="B162" s="27" t="s">
        <v>99</v>
      </c>
      <c r="C162" s="15" t="s">
        <v>17</v>
      </c>
      <c r="D162" s="26">
        <f>D161*1.2</f>
        <v>18.611999999999998</v>
      </c>
    </row>
    <row r="163" spans="1:4" x14ac:dyDescent="0.25">
      <c r="A163" s="18" t="s">
        <v>193</v>
      </c>
      <c r="B163" s="27" t="s">
        <v>100</v>
      </c>
      <c r="C163" s="15" t="s">
        <v>17</v>
      </c>
      <c r="D163" s="26">
        <f>D160*17</f>
        <v>316.2</v>
      </c>
    </row>
    <row r="164" spans="1:4" x14ac:dyDescent="0.25">
      <c r="A164" s="18" t="s">
        <v>262</v>
      </c>
      <c r="B164" s="27" t="s">
        <v>101</v>
      </c>
      <c r="C164" s="15" t="s">
        <v>33</v>
      </c>
      <c r="D164" s="26">
        <f>D161*0.3</f>
        <v>4.6529999999999996</v>
      </c>
    </row>
    <row r="165" spans="1:4" x14ac:dyDescent="0.25">
      <c r="A165" s="18" t="s">
        <v>263</v>
      </c>
      <c r="B165" s="27" t="s">
        <v>102</v>
      </c>
      <c r="C165" s="15" t="s">
        <v>8</v>
      </c>
      <c r="D165" s="26">
        <f>D161*0.45</f>
        <v>6.9794999999999998</v>
      </c>
    </row>
    <row r="166" spans="1:4" x14ac:dyDescent="0.25">
      <c r="A166" s="18" t="s">
        <v>378</v>
      </c>
      <c r="B166" s="25" t="s">
        <v>103</v>
      </c>
      <c r="C166" s="15" t="s">
        <v>8</v>
      </c>
      <c r="D166" s="26">
        <f>4.6*2+3.1*2</f>
        <v>15.399999999999999</v>
      </c>
    </row>
    <row r="167" spans="1:4" x14ac:dyDescent="0.25">
      <c r="A167" s="18" t="s">
        <v>379</v>
      </c>
      <c r="B167" s="25" t="s">
        <v>104</v>
      </c>
      <c r="C167" s="15" t="s">
        <v>17</v>
      </c>
      <c r="D167" s="26">
        <f>D161</f>
        <v>15.51</v>
      </c>
    </row>
    <row r="168" spans="1:4" x14ac:dyDescent="0.25">
      <c r="A168" s="18" t="s">
        <v>194</v>
      </c>
      <c r="B168" s="27" t="s">
        <v>101</v>
      </c>
      <c r="C168" s="15" t="s">
        <v>33</v>
      </c>
      <c r="D168" s="26">
        <f>ROUND(D165*1.35,2)</f>
        <v>9.42</v>
      </c>
    </row>
    <row r="169" spans="1:4" ht="30" x14ac:dyDescent="0.25">
      <c r="A169" s="18" t="s">
        <v>380</v>
      </c>
      <c r="B169" s="25" t="s">
        <v>105</v>
      </c>
      <c r="C169" s="15" t="s">
        <v>17</v>
      </c>
      <c r="D169" s="26">
        <f>D167</f>
        <v>15.51</v>
      </c>
    </row>
    <row r="170" spans="1:4" ht="30" x14ac:dyDescent="0.25">
      <c r="A170" s="18" t="s">
        <v>381</v>
      </c>
      <c r="B170" s="25" t="s">
        <v>106</v>
      </c>
      <c r="C170" s="15" t="s">
        <v>17</v>
      </c>
      <c r="D170" s="26">
        <f>D169</f>
        <v>15.51</v>
      </c>
    </row>
    <row r="171" spans="1:4" x14ac:dyDescent="0.25">
      <c r="A171" s="18" t="s">
        <v>195</v>
      </c>
      <c r="B171" s="27" t="s">
        <v>107</v>
      </c>
      <c r="C171" s="15" t="s">
        <v>108</v>
      </c>
      <c r="D171" s="26">
        <f>D170/8*2</f>
        <v>3.8774999999999999</v>
      </c>
    </row>
    <row r="172" spans="1:4" ht="60" x14ac:dyDescent="0.25">
      <c r="A172" s="18" t="s">
        <v>382</v>
      </c>
      <c r="B172" s="25" t="s">
        <v>122</v>
      </c>
      <c r="C172" s="15" t="s">
        <v>8</v>
      </c>
      <c r="D172" s="26">
        <v>13.3</v>
      </c>
    </row>
    <row r="173" spans="1:4" ht="17.25" customHeight="1" x14ac:dyDescent="0.25">
      <c r="A173" s="11" t="s">
        <v>383</v>
      </c>
      <c r="B173" s="11"/>
      <c r="C173" s="11"/>
      <c r="D173" s="11"/>
    </row>
    <row r="174" spans="1:4" ht="30" x14ac:dyDescent="0.25">
      <c r="A174" s="18" t="s">
        <v>384</v>
      </c>
      <c r="B174" s="25" t="s">
        <v>109</v>
      </c>
      <c r="C174" s="20" t="s">
        <v>17</v>
      </c>
      <c r="D174" s="21">
        <v>34</v>
      </c>
    </row>
    <row r="175" spans="1:4" ht="30" x14ac:dyDescent="0.25">
      <c r="A175" s="18" t="s">
        <v>385</v>
      </c>
      <c r="B175" s="25" t="s">
        <v>52</v>
      </c>
      <c r="C175" s="20" t="s">
        <v>17</v>
      </c>
      <c r="D175" s="21">
        <f>D174</f>
        <v>34</v>
      </c>
    </row>
    <row r="176" spans="1:4" ht="30" x14ac:dyDescent="0.25">
      <c r="A176" s="18" t="s">
        <v>386</v>
      </c>
      <c r="B176" s="30" t="s">
        <v>110</v>
      </c>
      <c r="C176" s="20" t="s">
        <v>8</v>
      </c>
      <c r="D176" s="21">
        <f>25.78*5-0.275*18-1.8*2-1.35*2-0.9*2-0.45*2-1*2-0.77*2-0.51*2-0.25*2</f>
        <v>109.89</v>
      </c>
    </row>
    <row r="177" spans="1:4" ht="30" x14ac:dyDescent="0.25">
      <c r="A177" s="18" t="s">
        <v>387</v>
      </c>
      <c r="B177" s="30" t="s">
        <v>73</v>
      </c>
      <c r="C177" s="20" t="s">
        <v>17</v>
      </c>
      <c r="D177" s="21">
        <f>D174</f>
        <v>34</v>
      </c>
    </row>
    <row r="178" spans="1:4" ht="45" x14ac:dyDescent="0.25">
      <c r="A178" s="18" t="s">
        <v>388</v>
      </c>
      <c r="B178" s="19" t="s">
        <v>74</v>
      </c>
      <c r="C178" s="20" t="s">
        <v>8</v>
      </c>
      <c r="D178" s="21">
        <f>2.5*52+8*2*0.3+0.5*2</f>
        <v>135.80000000000001</v>
      </c>
    </row>
    <row r="179" spans="1:4" x14ac:dyDescent="0.25">
      <c r="A179" s="18" t="s">
        <v>264</v>
      </c>
      <c r="B179" s="23" t="s">
        <v>55</v>
      </c>
      <c r="C179" s="20" t="s">
        <v>8</v>
      </c>
      <c r="D179" s="21">
        <f>ROUND(D178*1.05,0)</f>
        <v>143</v>
      </c>
    </row>
    <row r="180" spans="1:4" x14ac:dyDescent="0.25">
      <c r="A180" s="18" t="s">
        <v>265</v>
      </c>
      <c r="B180" s="23" t="s">
        <v>75</v>
      </c>
      <c r="C180" s="20" t="s">
        <v>4</v>
      </c>
      <c r="D180" s="17">
        <f>ROUND(D179*5,0)</f>
        <v>715</v>
      </c>
    </row>
    <row r="181" spans="1:4" ht="45" x14ac:dyDescent="0.25">
      <c r="A181" s="18" t="s">
        <v>389</v>
      </c>
      <c r="B181" s="25" t="s">
        <v>77</v>
      </c>
      <c r="C181" s="15" t="s">
        <v>5</v>
      </c>
      <c r="D181" s="26">
        <f>27*2</f>
        <v>54</v>
      </c>
    </row>
    <row r="182" spans="1:4" x14ac:dyDescent="0.25">
      <c r="A182" s="18" t="s">
        <v>266</v>
      </c>
      <c r="B182" s="27" t="s">
        <v>76</v>
      </c>
      <c r="C182" s="15" t="s">
        <v>4</v>
      </c>
      <c r="D182" s="28">
        <v>20</v>
      </c>
    </row>
    <row r="183" spans="1:4" x14ac:dyDescent="0.25">
      <c r="A183" s="18" t="s">
        <v>267</v>
      </c>
      <c r="B183" s="27" t="s">
        <v>78</v>
      </c>
      <c r="C183" s="15" t="s">
        <v>8</v>
      </c>
      <c r="D183" s="26">
        <f>D179</f>
        <v>143</v>
      </c>
    </row>
    <row r="184" spans="1:4" x14ac:dyDescent="0.25">
      <c r="A184" s="18" t="s">
        <v>268</v>
      </c>
      <c r="B184" s="27" t="s">
        <v>75</v>
      </c>
      <c r="C184" s="15" t="s">
        <v>4</v>
      </c>
      <c r="D184" s="28">
        <f>ROUND(D183*5,0)</f>
        <v>715</v>
      </c>
    </row>
    <row r="185" spans="1:4" x14ac:dyDescent="0.25">
      <c r="A185" s="18" t="s">
        <v>269</v>
      </c>
      <c r="B185" s="27" t="s">
        <v>148</v>
      </c>
      <c r="C185" s="15" t="s">
        <v>4</v>
      </c>
      <c r="D185" s="28">
        <v>1</v>
      </c>
    </row>
    <row r="186" spans="1:4" ht="45" x14ac:dyDescent="0.25">
      <c r="A186" s="18" t="s">
        <v>390</v>
      </c>
      <c r="B186" s="25" t="s">
        <v>79</v>
      </c>
      <c r="C186" s="15" t="s">
        <v>17</v>
      </c>
      <c r="D186" s="26">
        <f>26*0.1</f>
        <v>2.6</v>
      </c>
    </row>
    <row r="187" spans="1:4" ht="45" x14ac:dyDescent="0.25">
      <c r="A187" s="18" t="s">
        <v>391</v>
      </c>
      <c r="B187" s="25" t="s">
        <v>80</v>
      </c>
      <c r="C187" s="15" t="s">
        <v>4</v>
      </c>
      <c r="D187" s="28">
        <f>26/0.6+4</f>
        <v>47.333333333333336</v>
      </c>
    </row>
    <row r="188" spans="1:4" ht="45" x14ac:dyDescent="0.25">
      <c r="A188" s="18" t="s">
        <v>392</v>
      </c>
      <c r="B188" s="25" t="s">
        <v>125</v>
      </c>
      <c r="C188" s="15" t="s">
        <v>17</v>
      </c>
      <c r="D188" s="26">
        <f>(15+4)*2*0.17</f>
        <v>6.4600000000000009</v>
      </c>
    </row>
    <row r="189" spans="1:4" ht="30" x14ac:dyDescent="0.25">
      <c r="A189" s="18" t="s">
        <v>393</v>
      </c>
      <c r="B189" s="25" t="s">
        <v>126</v>
      </c>
      <c r="C189" s="15" t="s">
        <v>8</v>
      </c>
      <c r="D189" s="26">
        <f>(15+4)*2</f>
        <v>38</v>
      </c>
    </row>
    <row r="190" spans="1:4" ht="30" x14ac:dyDescent="0.25">
      <c r="A190" s="18" t="s">
        <v>394</v>
      </c>
      <c r="B190" s="30" t="s">
        <v>82</v>
      </c>
      <c r="C190" s="15" t="s">
        <v>8</v>
      </c>
      <c r="D190" s="26">
        <f>2*27</f>
        <v>54</v>
      </c>
    </row>
    <row r="191" spans="1:4" x14ac:dyDescent="0.25">
      <c r="A191" s="18" t="s">
        <v>270</v>
      </c>
      <c r="B191" s="27" t="s">
        <v>84</v>
      </c>
      <c r="C191" s="15" t="s">
        <v>8</v>
      </c>
      <c r="D191" s="26">
        <f>D190*1.1</f>
        <v>59.400000000000006</v>
      </c>
    </row>
    <row r="192" spans="1:4" x14ac:dyDescent="0.25">
      <c r="A192" s="18" t="s">
        <v>271</v>
      </c>
      <c r="B192" s="27" t="s">
        <v>85</v>
      </c>
      <c r="C192" s="15" t="s">
        <v>4</v>
      </c>
      <c r="D192" s="28">
        <f>D191*3</f>
        <v>178.20000000000002</v>
      </c>
    </row>
    <row r="193" spans="1:4" ht="45" x14ac:dyDescent="0.25">
      <c r="A193" s="18" t="s">
        <v>395</v>
      </c>
      <c r="B193" s="25" t="s">
        <v>124</v>
      </c>
      <c r="C193" s="15" t="s">
        <v>17</v>
      </c>
      <c r="D193" s="26">
        <f>20*2</f>
        <v>40</v>
      </c>
    </row>
    <row r="194" spans="1:4" ht="30" x14ac:dyDescent="0.25">
      <c r="A194" s="18" t="s">
        <v>272</v>
      </c>
      <c r="B194" s="27" t="s">
        <v>28</v>
      </c>
      <c r="C194" s="15" t="s">
        <v>17</v>
      </c>
      <c r="D194" s="26">
        <f>D193*2*1.2</f>
        <v>96</v>
      </c>
    </row>
    <row r="195" spans="1:4" x14ac:dyDescent="0.25">
      <c r="A195" s="18" t="s">
        <v>396</v>
      </c>
      <c r="B195" s="25" t="s">
        <v>87</v>
      </c>
      <c r="C195" s="15" t="s">
        <v>17</v>
      </c>
      <c r="D195" s="26">
        <v>40</v>
      </c>
    </row>
    <row r="196" spans="1:4" x14ac:dyDescent="0.25">
      <c r="A196" s="18" t="s">
        <v>142</v>
      </c>
      <c r="B196" s="27" t="s">
        <v>88</v>
      </c>
      <c r="C196" s="15" t="s">
        <v>17</v>
      </c>
      <c r="D196" s="26">
        <f>D195*1.2</f>
        <v>48</v>
      </c>
    </row>
    <row r="197" spans="1:4" x14ac:dyDescent="0.25">
      <c r="A197" s="24" t="s">
        <v>196</v>
      </c>
      <c r="B197" s="27" t="s">
        <v>51</v>
      </c>
      <c r="C197" s="15" t="s">
        <v>8</v>
      </c>
      <c r="D197" s="26">
        <f>D190*1.2</f>
        <v>64.8</v>
      </c>
    </row>
    <row r="198" spans="1:4" x14ac:dyDescent="0.25">
      <c r="A198" s="18" t="s">
        <v>273</v>
      </c>
      <c r="B198" s="27" t="s">
        <v>56</v>
      </c>
      <c r="C198" s="15" t="s">
        <v>4</v>
      </c>
      <c r="D198" s="28">
        <f>D197*5</f>
        <v>324</v>
      </c>
    </row>
    <row r="199" spans="1:4" ht="30" x14ac:dyDescent="0.25">
      <c r="A199" s="18" t="s">
        <v>397</v>
      </c>
      <c r="B199" s="30" t="s">
        <v>89</v>
      </c>
      <c r="C199" s="15" t="s">
        <v>8</v>
      </c>
      <c r="D199" s="21">
        <f>(6.64*5+6.2+1+0.9+0.7+0.4+(1.4+1.3+1.2+1)*2+0.8+0.7+0.5+0.3+0.9*4)*2</f>
        <v>116.2</v>
      </c>
    </row>
    <row r="200" spans="1:4" x14ac:dyDescent="0.25">
      <c r="A200" s="18" t="s">
        <v>143</v>
      </c>
      <c r="B200" s="27" t="s">
        <v>90</v>
      </c>
      <c r="C200" s="15" t="s">
        <v>8</v>
      </c>
      <c r="D200" s="26">
        <f>D199*1.1</f>
        <v>127.82000000000001</v>
      </c>
    </row>
    <row r="201" spans="1:4" x14ac:dyDescent="0.25">
      <c r="A201" s="18" t="s">
        <v>274</v>
      </c>
      <c r="B201" s="27" t="s">
        <v>85</v>
      </c>
      <c r="C201" s="15" t="s">
        <v>4</v>
      </c>
      <c r="D201" s="28">
        <f>D200*1.75</f>
        <v>223.685</v>
      </c>
    </row>
    <row r="202" spans="1:4" ht="30" x14ac:dyDescent="0.25">
      <c r="A202" s="18" t="s">
        <v>398</v>
      </c>
      <c r="B202" s="30" t="s">
        <v>127</v>
      </c>
      <c r="C202" s="15" t="s">
        <v>8</v>
      </c>
      <c r="D202" s="26">
        <f>(6.64*2*4+2*1.2+0.9*2+0.7*2+0.4*2+(1.4*2+1.3*2+1.2*2+1*2)*2+0.8*2+0.7*2+0.5*2+0.3*2+0.9*2*4)*2</f>
        <v>181.83999999999997</v>
      </c>
    </row>
    <row r="203" spans="1:4" ht="30" x14ac:dyDescent="0.25">
      <c r="A203" s="18" t="s">
        <v>155</v>
      </c>
      <c r="B203" s="27" t="s">
        <v>137</v>
      </c>
      <c r="C203" s="15" t="s">
        <v>8</v>
      </c>
      <c r="D203" s="26">
        <f>D202*1.2</f>
        <v>218.20799999999997</v>
      </c>
    </row>
    <row r="204" spans="1:4" x14ac:dyDescent="0.25">
      <c r="A204" s="18" t="s">
        <v>156</v>
      </c>
      <c r="B204" s="27" t="s">
        <v>56</v>
      </c>
      <c r="C204" s="15" t="s">
        <v>4</v>
      </c>
      <c r="D204" s="28">
        <f>D203*1.8</f>
        <v>392.77439999999996</v>
      </c>
    </row>
    <row r="205" spans="1:4" ht="30" x14ac:dyDescent="0.25">
      <c r="A205" s="18" t="s">
        <v>399</v>
      </c>
      <c r="B205" s="25" t="s">
        <v>96</v>
      </c>
      <c r="C205" s="15" t="s">
        <v>17</v>
      </c>
      <c r="D205" s="26">
        <f>20*2</f>
        <v>40</v>
      </c>
    </row>
    <row r="206" spans="1:4" x14ac:dyDescent="0.25">
      <c r="A206" s="18" t="s">
        <v>163</v>
      </c>
      <c r="B206" s="27" t="s">
        <v>97</v>
      </c>
      <c r="C206" s="15" t="s">
        <v>17</v>
      </c>
      <c r="D206" s="26">
        <f>D205*1.2</f>
        <v>48</v>
      </c>
    </row>
    <row r="207" spans="1:4" x14ac:dyDescent="0.25">
      <c r="A207" s="18" t="s">
        <v>400</v>
      </c>
      <c r="B207" s="25" t="s">
        <v>98</v>
      </c>
      <c r="C207" s="15" t="s">
        <v>17</v>
      </c>
      <c r="D207" s="26">
        <f>20*2</f>
        <v>40</v>
      </c>
    </row>
    <row r="208" spans="1:4" x14ac:dyDescent="0.25">
      <c r="A208" s="18" t="s">
        <v>144</v>
      </c>
      <c r="B208" s="27" t="s">
        <v>99</v>
      </c>
      <c r="C208" s="15" t="s">
        <v>17</v>
      </c>
      <c r="D208" s="26">
        <f>D207*1.2</f>
        <v>48</v>
      </c>
    </row>
    <row r="209" spans="1:4" x14ac:dyDescent="0.25">
      <c r="A209" s="18" t="s">
        <v>197</v>
      </c>
      <c r="B209" s="27" t="s">
        <v>100</v>
      </c>
      <c r="C209" s="15" t="s">
        <v>17</v>
      </c>
      <c r="D209" s="26">
        <f>D206*17</f>
        <v>816</v>
      </c>
    </row>
    <row r="210" spans="1:4" x14ac:dyDescent="0.25">
      <c r="A210" s="18" t="s">
        <v>275</v>
      </c>
      <c r="B210" s="27" t="s">
        <v>101</v>
      </c>
      <c r="C210" s="15" t="s">
        <v>33</v>
      </c>
      <c r="D210" s="26">
        <f>D207*0.3</f>
        <v>12</v>
      </c>
    </row>
    <row r="211" spans="1:4" x14ac:dyDescent="0.25">
      <c r="A211" s="18" t="s">
        <v>276</v>
      </c>
      <c r="B211" s="27" t="s">
        <v>102</v>
      </c>
      <c r="C211" s="15" t="s">
        <v>8</v>
      </c>
      <c r="D211" s="26">
        <f>D207*0.45</f>
        <v>18</v>
      </c>
    </row>
    <row r="212" spans="1:4" x14ac:dyDescent="0.25">
      <c r="A212" s="18" t="s">
        <v>401</v>
      </c>
      <c r="B212" s="25" t="s">
        <v>103</v>
      </c>
      <c r="C212" s="15" t="s">
        <v>8</v>
      </c>
      <c r="D212" s="26">
        <v>78</v>
      </c>
    </row>
    <row r="213" spans="1:4" x14ac:dyDescent="0.25">
      <c r="A213" s="18" t="s">
        <v>402</v>
      </c>
      <c r="B213" s="25" t="s">
        <v>104</v>
      </c>
      <c r="C213" s="15" t="s">
        <v>17</v>
      </c>
      <c r="D213" s="26">
        <f>D207</f>
        <v>40</v>
      </c>
    </row>
    <row r="214" spans="1:4" x14ac:dyDescent="0.25">
      <c r="A214" s="18" t="s">
        <v>198</v>
      </c>
      <c r="B214" s="27" t="s">
        <v>101</v>
      </c>
      <c r="C214" s="15" t="s">
        <v>33</v>
      </c>
      <c r="D214" s="26">
        <f>ROUND(D211*1.35,2)</f>
        <v>24.3</v>
      </c>
    </row>
    <row r="215" spans="1:4" ht="30" x14ac:dyDescent="0.25">
      <c r="A215" s="18" t="s">
        <v>403</v>
      </c>
      <c r="B215" s="25" t="s">
        <v>105</v>
      </c>
      <c r="C215" s="15" t="s">
        <v>17</v>
      </c>
      <c r="D215" s="26">
        <f>D213</f>
        <v>40</v>
      </c>
    </row>
    <row r="216" spans="1:4" ht="30" x14ac:dyDescent="0.25">
      <c r="A216" s="18" t="s">
        <v>404</v>
      </c>
      <c r="B216" s="25" t="s">
        <v>106</v>
      </c>
      <c r="C216" s="15" t="s">
        <v>17</v>
      </c>
      <c r="D216" s="26">
        <f>D215</f>
        <v>40</v>
      </c>
    </row>
    <row r="217" spans="1:4" x14ac:dyDescent="0.25">
      <c r="A217" s="18" t="s">
        <v>199</v>
      </c>
      <c r="B217" s="27" t="s">
        <v>107</v>
      </c>
      <c r="C217" s="15" t="s">
        <v>108</v>
      </c>
      <c r="D217" s="26">
        <f>D216/8*2</f>
        <v>10</v>
      </c>
    </row>
    <row r="218" spans="1:4" ht="15.75" customHeight="1" x14ac:dyDescent="0.25">
      <c r="A218" s="11" t="s">
        <v>405</v>
      </c>
      <c r="B218" s="11"/>
      <c r="C218" s="11"/>
      <c r="D218" s="11"/>
    </row>
    <row r="219" spans="1:4" ht="30" x14ac:dyDescent="0.25">
      <c r="A219" s="18">
        <v>96</v>
      </c>
      <c r="B219" s="30" t="s">
        <v>130</v>
      </c>
      <c r="C219" s="15" t="s">
        <v>131</v>
      </c>
      <c r="D219" s="26">
        <v>0.15</v>
      </c>
    </row>
    <row r="220" spans="1:4" ht="30" x14ac:dyDescent="0.25">
      <c r="A220" s="18" t="s">
        <v>406</v>
      </c>
      <c r="B220" s="30" t="s">
        <v>201</v>
      </c>
      <c r="C220" s="15" t="s">
        <v>17</v>
      </c>
      <c r="D220" s="26">
        <v>26</v>
      </c>
    </row>
    <row r="221" spans="1:4" ht="30" x14ac:dyDescent="0.25">
      <c r="A221" s="18" t="s">
        <v>407</v>
      </c>
      <c r="B221" s="30" t="s">
        <v>202</v>
      </c>
      <c r="C221" s="15" t="s">
        <v>17</v>
      </c>
      <c r="D221" s="26">
        <v>26</v>
      </c>
    </row>
    <row r="222" spans="1:4" ht="30" x14ac:dyDescent="0.25">
      <c r="A222" s="18" t="s">
        <v>408</v>
      </c>
      <c r="B222" s="30" t="s">
        <v>132</v>
      </c>
      <c r="C222" s="15" t="s">
        <v>17</v>
      </c>
      <c r="D222" s="26">
        <v>26</v>
      </c>
    </row>
    <row r="223" spans="1:4" ht="75" x14ac:dyDescent="0.25">
      <c r="A223" s="18" t="s">
        <v>409</v>
      </c>
      <c r="B223" s="19" t="s">
        <v>138</v>
      </c>
      <c r="C223" s="20" t="s">
        <v>45</v>
      </c>
      <c r="D223" s="21">
        <f>ROUND(0.2*0.5*0.25,2)</f>
        <v>0.03</v>
      </c>
    </row>
    <row r="224" spans="1:4" ht="60" x14ac:dyDescent="0.25">
      <c r="A224" s="18" t="s">
        <v>410</v>
      </c>
      <c r="B224" s="19" t="s">
        <v>140</v>
      </c>
      <c r="C224" s="15" t="s">
        <v>17</v>
      </c>
      <c r="D224" s="21">
        <v>0.3</v>
      </c>
    </row>
    <row r="225" spans="1:4" ht="45" x14ac:dyDescent="0.25">
      <c r="A225" s="18" t="s">
        <v>411</v>
      </c>
      <c r="B225" s="19" t="s">
        <v>139</v>
      </c>
      <c r="C225" s="20" t="s">
        <v>4</v>
      </c>
      <c r="D225" s="17">
        <v>38</v>
      </c>
    </row>
    <row r="226" spans="1:4" ht="30" x14ac:dyDescent="0.25">
      <c r="A226" s="18" t="s">
        <v>412</v>
      </c>
      <c r="B226" s="19" t="s">
        <v>141</v>
      </c>
      <c r="C226" s="15" t="s">
        <v>17</v>
      </c>
      <c r="D226" s="21">
        <f>0.7+0.9</f>
        <v>1.6</v>
      </c>
    </row>
    <row r="227" spans="1:4" ht="30" x14ac:dyDescent="0.25">
      <c r="A227" s="18" t="s">
        <v>413</v>
      </c>
      <c r="B227" s="19" t="s">
        <v>22</v>
      </c>
      <c r="C227" s="20" t="s">
        <v>17</v>
      </c>
      <c r="D227" s="21">
        <f>0.5+0.8+0.2+7+4.7*0.2*2</f>
        <v>10.38</v>
      </c>
    </row>
    <row r="228" spans="1:4" x14ac:dyDescent="0.25">
      <c r="A228" s="18" t="s">
        <v>277</v>
      </c>
      <c r="B228" s="23" t="s">
        <v>23</v>
      </c>
      <c r="C228" s="20" t="s">
        <v>4</v>
      </c>
      <c r="D228" s="17">
        <f>ROUND(D227*30/25,0)</f>
        <v>12</v>
      </c>
    </row>
    <row r="229" spans="1:4" ht="30" x14ac:dyDescent="0.25">
      <c r="A229" s="18" t="s">
        <v>414</v>
      </c>
      <c r="B229" s="19" t="s">
        <v>60</v>
      </c>
      <c r="C229" s="20" t="s">
        <v>17</v>
      </c>
      <c r="D229" s="21">
        <f>3+7</f>
        <v>10</v>
      </c>
    </row>
    <row r="230" spans="1:4" ht="45" x14ac:dyDescent="0.25">
      <c r="A230" s="18" t="s">
        <v>415</v>
      </c>
      <c r="B230" s="19" t="s">
        <v>58</v>
      </c>
      <c r="C230" s="20" t="s">
        <v>17</v>
      </c>
      <c r="D230" s="21">
        <f>3.4*0.2*4</f>
        <v>2.72</v>
      </c>
    </row>
    <row r="231" spans="1:4" ht="30" x14ac:dyDescent="0.25">
      <c r="A231" s="18" t="s">
        <v>200</v>
      </c>
      <c r="B231" s="23" t="s">
        <v>59</v>
      </c>
      <c r="C231" s="20" t="s">
        <v>4</v>
      </c>
      <c r="D231" s="17">
        <f>D230/0.6*1.25</f>
        <v>5.6666666666666679</v>
      </c>
    </row>
    <row r="232" spans="1:4" ht="30" x14ac:dyDescent="0.25">
      <c r="A232" s="18" t="s">
        <v>416</v>
      </c>
      <c r="B232" s="19" t="s">
        <v>36</v>
      </c>
      <c r="C232" s="20" t="s">
        <v>17</v>
      </c>
      <c r="D232" s="21">
        <f>6+6</f>
        <v>12</v>
      </c>
    </row>
    <row r="233" spans="1:4" ht="30" x14ac:dyDescent="0.25">
      <c r="A233" s="18" t="s">
        <v>149</v>
      </c>
      <c r="B233" s="23" t="s">
        <v>34</v>
      </c>
      <c r="C233" s="20" t="s">
        <v>17</v>
      </c>
      <c r="D233" s="21">
        <f>D232*1.2</f>
        <v>14.399999999999999</v>
      </c>
    </row>
    <row r="234" spans="1:4" x14ac:dyDescent="0.25">
      <c r="A234" s="18" t="s">
        <v>278</v>
      </c>
      <c r="B234" s="23" t="s">
        <v>35</v>
      </c>
      <c r="C234" s="20" t="s">
        <v>4</v>
      </c>
      <c r="D234" s="17">
        <f>ROUND(D232*13/25,0)</f>
        <v>6</v>
      </c>
    </row>
    <row r="235" spans="1:4" ht="30" x14ac:dyDescent="0.25">
      <c r="A235" s="18" t="s">
        <v>279</v>
      </c>
      <c r="B235" s="23" t="s">
        <v>37</v>
      </c>
      <c r="C235" s="20" t="s">
        <v>17</v>
      </c>
      <c r="D235" s="21">
        <f>D232*1.2</f>
        <v>14.399999999999999</v>
      </c>
    </row>
    <row r="236" spans="1:4" ht="75" x14ac:dyDescent="0.25">
      <c r="A236" s="18" t="s">
        <v>417</v>
      </c>
      <c r="B236" s="19" t="s">
        <v>177</v>
      </c>
      <c r="C236" s="20" t="s">
        <v>17</v>
      </c>
      <c r="D236" s="21">
        <f>4.7*0.3</f>
        <v>1.41</v>
      </c>
    </row>
    <row r="237" spans="1:4" x14ac:dyDescent="0.25">
      <c r="A237" s="18" t="s">
        <v>157</v>
      </c>
      <c r="B237" s="23" t="s">
        <v>178</v>
      </c>
      <c r="C237" s="20" t="s">
        <v>17</v>
      </c>
      <c r="D237" s="21">
        <f>ROUND(D236*1.167,2)</f>
        <v>1.65</v>
      </c>
    </row>
    <row r="238" spans="1:4" x14ac:dyDescent="0.25">
      <c r="A238" s="18" t="s">
        <v>164</v>
      </c>
      <c r="B238" s="23" t="s">
        <v>55</v>
      </c>
      <c r="C238" s="20" t="s">
        <v>8</v>
      </c>
      <c r="D238" s="21">
        <f>6*0.2*4</f>
        <v>4.8000000000000007</v>
      </c>
    </row>
    <row r="239" spans="1:4" x14ac:dyDescent="0.25">
      <c r="A239" s="18" t="s">
        <v>165</v>
      </c>
      <c r="B239" s="23" t="s">
        <v>180</v>
      </c>
      <c r="C239" s="20" t="s">
        <v>4</v>
      </c>
      <c r="D239" s="17">
        <f>6*6</f>
        <v>36</v>
      </c>
    </row>
    <row r="240" spans="1:4" x14ac:dyDescent="0.25">
      <c r="A240" s="18" t="s">
        <v>280</v>
      </c>
      <c r="B240" s="23" t="s">
        <v>179</v>
      </c>
      <c r="C240" s="20" t="s">
        <v>4</v>
      </c>
      <c r="D240" s="17">
        <f>6*6</f>
        <v>36</v>
      </c>
    </row>
    <row r="241" spans="1:6" ht="90" x14ac:dyDescent="0.25">
      <c r="A241" s="18" t="s">
        <v>418</v>
      </c>
      <c r="B241" s="19" t="s">
        <v>54</v>
      </c>
      <c r="C241" s="20" t="s">
        <v>17</v>
      </c>
      <c r="D241" s="21">
        <f>0.5*4.7*2</f>
        <v>4.7</v>
      </c>
    </row>
    <row r="242" spans="1:6" x14ac:dyDescent="0.25">
      <c r="A242" s="18" t="s">
        <v>158</v>
      </c>
      <c r="B242" s="23" t="s">
        <v>18</v>
      </c>
      <c r="C242" s="20" t="s">
        <v>17</v>
      </c>
      <c r="D242" s="21">
        <f>ROUND(D241*1.143,2)</f>
        <v>5.37</v>
      </c>
    </row>
    <row r="243" spans="1:6" x14ac:dyDescent="0.25">
      <c r="A243" s="18" t="s">
        <v>166</v>
      </c>
      <c r="B243" s="23" t="s">
        <v>19</v>
      </c>
      <c r="C243" s="20" t="s">
        <v>4</v>
      </c>
      <c r="D243" s="17">
        <f>25*6</f>
        <v>150</v>
      </c>
    </row>
    <row r="244" spans="1:6" x14ac:dyDescent="0.25">
      <c r="A244" s="18" t="s">
        <v>167</v>
      </c>
      <c r="B244" s="23" t="s">
        <v>55</v>
      </c>
      <c r="C244" s="20" t="s">
        <v>8</v>
      </c>
      <c r="D244" s="21">
        <f>ROUND(21/1.2*1.1,2)</f>
        <v>19.25</v>
      </c>
    </row>
    <row r="245" spans="1:6" x14ac:dyDescent="0.25">
      <c r="A245" s="18" t="s">
        <v>168</v>
      </c>
      <c r="B245" s="23" t="s">
        <v>56</v>
      </c>
      <c r="C245" s="20" t="s">
        <v>4</v>
      </c>
      <c r="D245" s="17">
        <f>D244*6</f>
        <v>115.5</v>
      </c>
    </row>
    <row r="246" spans="1:6" x14ac:dyDescent="0.25">
      <c r="A246" s="18" t="s">
        <v>419</v>
      </c>
      <c r="B246" s="19" t="s">
        <v>39</v>
      </c>
      <c r="C246" s="20" t="s">
        <v>17</v>
      </c>
      <c r="D246" s="21">
        <v>27</v>
      </c>
    </row>
    <row r="247" spans="1:6" x14ac:dyDescent="0.25">
      <c r="A247" s="18" t="s">
        <v>420</v>
      </c>
      <c r="B247" s="25" t="s">
        <v>154</v>
      </c>
      <c r="C247" s="20" t="s">
        <v>17</v>
      </c>
      <c r="D247" s="21">
        <v>27</v>
      </c>
    </row>
    <row r="248" spans="1:6" ht="75" x14ac:dyDescent="0.25">
      <c r="A248" s="18" t="s">
        <v>421</v>
      </c>
      <c r="B248" s="25" t="s">
        <v>133</v>
      </c>
      <c r="C248" s="20" t="s">
        <v>8</v>
      </c>
      <c r="D248" s="21">
        <f>2.1*5</f>
        <v>10.5</v>
      </c>
    </row>
    <row r="249" spans="1:6" x14ac:dyDescent="0.25">
      <c r="A249" s="18" t="s">
        <v>281</v>
      </c>
      <c r="B249" s="23" t="s">
        <v>67</v>
      </c>
      <c r="C249" s="20" t="s">
        <v>17</v>
      </c>
      <c r="D249" s="21">
        <f>D248*0.2*6</f>
        <v>12.600000000000001</v>
      </c>
    </row>
    <row r="250" spans="1:6" x14ac:dyDescent="0.25">
      <c r="A250" s="18" t="s">
        <v>282</v>
      </c>
      <c r="B250" s="23" t="s">
        <v>41</v>
      </c>
      <c r="C250" s="20" t="s">
        <v>4</v>
      </c>
      <c r="D250" s="17">
        <v>2</v>
      </c>
    </row>
    <row r="251" spans="1:6" ht="30" x14ac:dyDescent="0.25">
      <c r="A251" s="18" t="s">
        <v>422</v>
      </c>
      <c r="B251" s="25" t="s">
        <v>134</v>
      </c>
      <c r="C251" s="20" t="s">
        <v>17</v>
      </c>
      <c r="D251" s="21">
        <f>27-D248*0.2</f>
        <v>24.9</v>
      </c>
    </row>
    <row r="252" spans="1:6" ht="30" x14ac:dyDescent="0.25">
      <c r="A252" s="18" t="s">
        <v>423</v>
      </c>
      <c r="B252" s="19" t="s">
        <v>218</v>
      </c>
      <c r="C252" s="20" t="s">
        <v>45</v>
      </c>
      <c r="D252" s="21">
        <f>ROUND(D251*0.2*1.2,2)</f>
        <v>5.98</v>
      </c>
    </row>
    <row r="253" spans="1:6" x14ac:dyDescent="0.25">
      <c r="A253" s="29" t="s">
        <v>283</v>
      </c>
      <c r="B253" s="23" t="s">
        <v>44</v>
      </c>
      <c r="C253" s="20" t="s">
        <v>33</v>
      </c>
      <c r="D253" s="21">
        <f>ROUND(D252*35*1.2,2)</f>
        <v>251.16</v>
      </c>
    </row>
    <row r="254" spans="1:6" ht="30" x14ac:dyDescent="0.25">
      <c r="A254" s="18" t="s">
        <v>424</v>
      </c>
      <c r="B254" s="19" t="s">
        <v>69</v>
      </c>
      <c r="C254" s="20" t="s">
        <v>17</v>
      </c>
      <c r="D254" s="21">
        <f>2.1*4.7</f>
        <v>9.870000000000001</v>
      </c>
    </row>
    <row r="255" spans="1:6" x14ac:dyDescent="0.25">
      <c r="A255" s="18" t="s">
        <v>169</v>
      </c>
      <c r="B255" s="23" t="s">
        <v>70</v>
      </c>
      <c r="C255" s="20" t="s">
        <v>4</v>
      </c>
      <c r="D255" s="21">
        <f>ROUND(D254/8*1.145,2)</f>
        <v>1.41</v>
      </c>
      <c r="F255" s="8"/>
    </row>
    <row r="256" spans="1:6" x14ac:dyDescent="0.25">
      <c r="A256" s="18" t="s">
        <v>425</v>
      </c>
      <c r="B256" s="19" t="s">
        <v>42</v>
      </c>
      <c r="C256" s="20" t="s">
        <v>17</v>
      </c>
      <c r="D256" s="21">
        <f>2.1*4.75</f>
        <v>9.9749999999999996</v>
      </c>
    </row>
    <row r="257" spans="1:6" x14ac:dyDescent="0.25">
      <c r="A257" s="18" t="s">
        <v>170</v>
      </c>
      <c r="B257" s="23" t="s">
        <v>46</v>
      </c>
      <c r="C257" s="20" t="s">
        <v>8</v>
      </c>
      <c r="D257" s="21">
        <f>4.7*14*1.15</f>
        <v>75.669999999999987</v>
      </c>
      <c r="F257" s="8"/>
    </row>
    <row r="258" spans="1:6" ht="45" x14ac:dyDescent="0.25">
      <c r="A258" s="18" t="s">
        <v>426</v>
      </c>
      <c r="B258" s="19" t="s">
        <v>135</v>
      </c>
      <c r="C258" s="20" t="s">
        <v>17</v>
      </c>
      <c r="D258" s="21">
        <f>27-D256</f>
        <v>17.024999999999999</v>
      </c>
    </row>
    <row r="259" spans="1:6" ht="30" x14ac:dyDescent="0.25">
      <c r="A259" s="18" t="s">
        <v>427</v>
      </c>
      <c r="B259" s="19" t="s">
        <v>145</v>
      </c>
      <c r="C259" s="20" t="s">
        <v>4</v>
      </c>
      <c r="D259" s="17">
        <v>1</v>
      </c>
    </row>
    <row r="260" spans="1:6" ht="30" x14ac:dyDescent="0.25">
      <c r="A260" s="18" t="s">
        <v>428</v>
      </c>
      <c r="B260" s="19" t="s">
        <v>146</v>
      </c>
      <c r="C260" s="20" t="s">
        <v>4</v>
      </c>
      <c r="D260" s="17">
        <v>1</v>
      </c>
    </row>
    <row r="261" spans="1:6" ht="15.75" customHeight="1" x14ac:dyDescent="0.25">
      <c r="A261" s="11" t="s">
        <v>335</v>
      </c>
      <c r="B261" s="11"/>
      <c r="C261" s="11"/>
      <c r="D261" s="11"/>
      <c r="F261" s="8"/>
    </row>
    <row r="262" spans="1:6" ht="45" x14ac:dyDescent="0.25">
      <c r="A262" s="18" t="s">
        <v>429</v>
      </c>
      <c r="B262" s="19" t="s">
        <v>147</v>
      </c>
      <c r="C262" s="20" t="s">
        <v>4</v>
      </c>
      <c r="D262" s="17">
        <v>1</v>
      </c>
    </row>
    <row r="263" spans="1:6" ht="15" customHeight="1" x14ac:dyDescent="0.25">
      <c r="A263" s="11" t="s">
        <v>430</v>
      </c>
      <c r="B263" s="11"/>
      <c r="C263" s="11"/>
      <c r="D263" s="11"/>
      <c r="F263" s="8"/>
    </row>
    <row r="264" spans="1:6" ht="30" x14ac:dyDescent="0.25">
      <c r="A264" s="18" t="s">
        <v>431</v>
      </c>
      <c r="B264" s="30" t="s">
        <v>130</v>
      </c>
      <c r="C264" s="15" t="s">
        <v>131</v>
      </c>
      <c r="D264" s="26">
        <v>0.15</v>
      </c>
    </row>
    <row r="265" spans="1:6" ht="30" x14ac:dyDescent="0.25">
      <c r="A265" s="18" t="s">
        <v>432</v>
      </c>
      <c r="B265" s="30" t="s">
        <v>128</v>
      </c>
      <c r="C265" s="15" t="s">
        <v>17</v>
      </c>
      <c r="D265" s="26">
        <v>44</v>
      </c>
    </row>
    <row r="266" spans="1:6" ht="45" x14ac:dyDescent="0.25">
      <c r="A266" s="18" t="s">
        <v>433</v>
      </c>
      <c r="B266" s="30" t="s">
        <v>129</v>
      </c>
      <c r="C266" s="15" t="s">
        <v>17</v>
      </c>
      <c r="D266" s="26">
        <f>D265</f>
        <v>44</v>
      </c>
    </row>
    <row r="267" spans="1:6" ht="45" x14ac:dyDescent="0.25">
      <c r="A267" s="18" t="s">
        <v>434</v>
      </c>
      <c r="B267" s="19" t="s">
        <v>74</v>
      </c>
      <c r="C267" s="20" t="s">
        <v>8</v>
      </c>
      <c r="D267" s="21">
        <f>27*2*0.6</f>
        <v>32.4</v>
      </c>
    </row>
    <row r="268" spans="1:6" x14ac:dyDescent="0.25">
      <c r="A268" s="18" t="s">
        <v>284</v>
      </c>
      <c r="B268" s="23" t="s">
        <v>55</v>
      </c>
      <c r="C268" s="20" t="s">
        <v>8</v>
      </c>
      <c r="D268" s="21">
        <f>ROUND(D267*1.05,0)</f>
        <v>34</v>
      </c>
    </row>
    <row r="269" spans="1:6" x14ac:dyDescent="0.25">
      <c r="A269" s="18" t="s">
        <v>285</v>
      </c>
      <c r="B269" s="23" t="s">
        <v>75</v>
      </c>
      <c r="C269" s="20" t="s">
        <v>4</v>
      </c>
      <c r="D269" s="17">
        <f>ROUND(D268*5,0)</f>
        <v>170</v>
      </c>
    </row>
    <row r="270" spans="1:6" ht="45" x14ac:dyDescent="0.25">
      <c r="A270" s="18" t="s">
        <v>435</v>
      </c>
      <c r="B270" s="19" t="s">
        <v>77</v>
      </c>
      <c r="C270" s="15" t="s">
        <v>5</v>
      </c>
      <c r="D270" s="26">
        <f>22*0.6</f>
        <v>13.2</v>
      </c>
    </row>
    <row r="271" spans="1:6" x14ac:dyDescent="0.25">
      <c r="A271" s="18" t="s">
        <v>171</v>
      </c>
      <c r="B271" s="23" t="s">
        <v>76</v>
      </c>
      <c r="C271" s="15" t="s">
        <v>4</v>
      </c>
      <c r="D271" s="28">
        <v>5</v>
      </c>
    </row>
    <row r="272" spans="1:6" x14ac:dyDescent="0.25">
      <c r="A272" s="18" t="s">
        <v>172</v>
      </c>
      <c r="B272" s="23" t="s">
        <v>78</v>
      </c>
      <c r="C272" s="15" t="s">
        <v>8</v>
      </c>
      <c r="D272" s="26">
        <f>D268</f>
        <v>34</v>
      </c>
    </row>
    <row r="273" spans="1:6" x14ac:dyDescent="0.25">
      <c r="A273" s="18" t="s">
        <v>286</v>
      </c>
      <c r="B273" s="23" t="s">
        <v>75</v>
      </c>
      <c r="C273" s="15" t="s">
        <v>4</v>
      </c>
      <c r="D273" s="28">
        <f>ROUND(D272*5,0)</f>
        <v>170</v>
      </c>
    </row>
    <row r="274" spans="1:6" x14ac:dyDescent="0.25">
      <c r="A274" s="18" t="s">
        <v>287</v>
      </c>
      <c r="B274" s="23" t="s">
        <v>148</v>
      </c>
      <c r="C274" s="15" t="s">
        <v>4</v>
      </c>
      <c r="D274" s="28">
        <v>1</v>
      </c>
    </row>
    <row r="275" spans="1:6" ht="30" x14ac:dyDescent="0.25">
      <c r="A275" s="18" t="s">
        <v>436</v>
      </c>
      <c r="B275" s="19" t="s">
        <v>22</v>
      </c>
      <c r="C275" s="20" t="s">
        <v>17</v>
      </c>
      <c r="D275" s="21">
        <v>1.3</v>
      </c>
    </row>
    <row r="276" spans="1:6" x14ac:dyDescent="0.25">
      <c r="A276" s="18" t="s">
        <v>173</v>
      </c>
      <c r="B276" s="23" t="s">
        <v>23</v>
      </c>
      <c r="C276" s="20" t="s">
        <v>4</v>
      </c>
      <c r="D276" s="17">
        <f>ROUND(D275*30/25,0)</f>
        <v>2</v>
      </c>
    </row>
    <row r="277" spans="1:6" ht="45" x14ac:dyDescent="0.25">
      <c r="A277" s="18" t="s">
        <v>437</v>
      </c>
      <c r="B277" s="19" t="s">
        <v>58</v>
      </c>
      <c r="C277" s="20" t="s">
        <v>17</v>
      </c>
      <c r="D277" s="21">
        <f>2*0.2*2</f>
        <v>0.8</v>
      </c>
    </row>
    <row r="278" spans="1:6" ht="30" x14ac:dyDescent="0.25">
      <c r="A278" s="18" t="s">
        <v>174</v>
      </c>
      <c r="B278" s="23" t="s">
        <v>59</v>
      </c>
      <c r="C278" s="20" t="s">
        <v>4</v>
      </c>
      <c r="D278" s="17">
        <f>D277/0.6*1.25</f>
        <v>1.666666666666667</v>
      </c>
    </row>
    <row r="279" spans="1:6" ht="45" x14ac:dyDescent="0.25">
      <c r="A279" s="18" t="s">
        <v>438</v>
      </c>
      <c r="B279" s="19" t="s">
        <v>150</v>
      </c>
      <c r="C279" s="20" t="s">
        <v>4</v>
      </c>
      <c r="D279" s="17">
        <v>8</v>
      </c>
    </row>
    <row r="280" spans="1:6" ht="45" x14ac:dyDescent="0.25">
      <c r="A280" s="18" t="s">
        <v>439</v>
      </c>
      <c r="B280" s="19" t="s">
        <v>219</v>
      </c>
      <c r="C280" s="20" t="s">
        <v>17</v>
      </c>
      <c r="D280" s="21">
        <f>D266</f>
        <v>44</v>
      </c>
    </row>
    <row r="281" spans="1:6" ht="30" x14ac:dyDescent="0.25">
      <c r="A281" s="18" t="s">
        <v>440</v>
      </c>
      <c r="B281" s="19" t="s">
        <v>218</v>
      </c>
      <c r="C281" s="20" t="s">
        <v>45</v>
      </c>
      <c r="D281" s="21">
        <f>ROUND(D280*0.2*1.2,2)</f>
        <v>10.56</v>
      </c>
    </row>
    <row r="282" spans="1:6" x14ac:dyDescent="0.25">
      <c r="A282" s="29" t="s">
        <v>288</v>
      </c>
      <c r="B282" s="23" t="s">
        <v>44</v>
      </c>
      <c r="C282" s="20" t="s">
        <v>33</v>
      </c>
      <c r="D282" s="21">
        <f>D281*35*1.2</f>
        <v>443.52000000000004</v>
      </c>
    </row>
    <row r="283" spans="1:6" ht="30" x14ac:dyDescent="0.25">
      <c r="A283" s="18" t="s">
        <v>441</v>
      </c>
      <c r="B283" s="19" t="s">
        <v>69</v>
      </c>
      <c r="C283" s="20" t="s">
        <v>17</v>
      </c>
      <c r="D283" s="21">
        <f>0.8*8</f>
        <v>6.4</v>
      </c>
    </row>
    <row r="284" spans="1:6" x14ac:dyDescent="0.25">
      <c r="A284" s="18" t="s">
        <v>175</v>
      </c>
      <c r="B284" s="23" t="s">
        <v>70</v>
      </c>
      <c r="C284" s="20" t="s">
        <v>4</v>
      </c>
      <c r="D284" s="21">
        <f>ROUND(D283/8*1.15,2)</f>
        <v>0.92</v>
      </c>
      <c r="F284" s="8"/>
    </row>
    <row r="285" spans="1:6" x14ac:dyDescent="0.25">
      <c r="A285" s="18" t="s">
        <v>442</v>
      </c>
      <c r="B285" s="19" t="s">
        <v>151</v>
      </c>
      <c r="C285" s="20" t="s">
        <v>17</v>
      </c>
      <c r="D285" s="21">
        <f>8*(0.8+0.2*2)</f>
        <v>9.6000000000000014</v>
      </c>
    </row>
    <row r="286" spans="1:6" x14ac:dyDescent="0.25">
      <c r="A286" s="18" t="s">
        <v>176</v>
      </c>
      <c r="B286" s="23" t="s">
        <v>152</v>
      </c>
      <c r="C286" s="20" t="s">
        <v>8</v>
      </c>
      <c r="D286" s="21">
        <f>8*12</f>
        <v>96</v>
      </c>
      <c r="F286" s="8"/>
    </row>
    <row r="287" spans="1:6" ht="15" customHeight="1" x14ac:dyDescent="0.25">
      <c r="A287" s="11" t="s">
        <v>443</v>
      </c>
      <c r="B287" s="11"/>
      <c r="C287" s="11"/>
      <c r="D287" s="11"/>
      <c r="F287" s="8"/>
    </row>
    <row r="288" spans="1:6" ht="30" x14ac:dyDescent="0.25">
      <c r="A288" s="18" t="s">
        <v>444</v>
      </c>
      <c r="B288" s="30" t="s">
        <v>159</v>
      </c>
      <c r="C288" s="15" t="s">
        <v>8</v>
      </c>
      <c r="D288" s="26">
        <f>11*2.8+1</f>
        <v>31.799999999999997</v>
      </c>
    </row>
    <row r="289" spans="1:6" x14ac:dyDescent="0.25">
      <c r="A289" s="18" t="s">
        <v>445</v>
      </c>
      <c r="B289" s="30" t="s">
        <v>160</v>
      </c>
      <c r="C289" s="20" t="s">
        <v>17</v>
      </c>
      <c r="D289" s="26">
        <f>3.6*0.8</f>
        <v>2.8800000000000003</v>
      </c>
    </row>
    <row r="290" spans="1:6" ht="30" x14ac:dyDescent="0.25">
      <c r="A290" s="18" t="s">
        <v>446</v>
      </c>
      <c r="B290" s="19" t="s">
        <v>22</v>
      </c>
      <c r="C290" s="20" t="s">
        <v>17</v>
      </c>
      <c r="D290" s="21">
        <f>D289</f>
        <v>2.8800000000000003</v>
      </c>
    </row>
    <row r="291" spans="1:6" x14ac:dyDescent="0.25">
      <c r="A291" s="18" t="s">
        <v>289</v>
      </c>
      <c r="B291" s="23" t="s">
        <v>23</v>
      </c>
      <c r="C291" s="20" t="s">
        <v>4</v>
      </c>
      <c r="D291" s="17">
        <f>ROUND(D290*30/25,0)</f>
        <v>3</v>
      </c>
    </row>
    <row r="292" spans="1:6" ht="30" x14ac:dyDescent="0.25">
      <c r="A292" s="18" t="s">
        <v>447</v>
      </c>
      <c r="B292" s="19" t="s">
        <v>60</v>
      </c>
      <c r="C292" s="20" t="s">
        <v>17</v>
      </c>
      <c r="D292" s="21">
        <f>D290</f>
        <v>2.8800000000000003</v>
      </c>
    </row>
    <row r="293" spans="1:6" ht="45" x14ac:dyDescent="0.25">
      <c r="A293" s="18" t="s">
        <v>448</v>
      </c>
      <c r="B293" s="19" t="s">
        <v>214</v>
      </c>
      <c r="C293" s="20" t="s">
        <v>17</v>
      </c>
      <c r="D293" s="21">
        <f>D292</f>
        <v>2.8800000000000003</v>
      </c>
    </row>
    <row r="294" spans="1:6" x14ac:dyDescent="0.25">
      <c r="A294" s="18" t="s">
        <v>290</v>
      </c>
      <c r="B294" s="23" t="s">
        <v>161</v>
      </c>
      <c r="C294" s="20" t="s">
        <v>17</v>
      </c>
      <c r="D294" s="21">
        <f>D293*1.2</f>
        <v>3.4560000000000004</v>
      </c>
    </row>
    <row r="295" spans="1:6" x14ac:dyDescent="0.25">
      <c r="A295" s="18" t="s">
        <v>291</v>
      </c>
      <c r="B295" s="23" t="s">
        <v>35</v>
      </c>
      <c r="C295" s="20" t="s">
        <v>4</v>
      </c>
      <c r="D295" s="17">
        <f>ROUND(D293*13/25,0)</f>
        <v>1</v>
      </c>
    </row>
    <row r="296" spans="1:6" ht="30" x14ac:dyDescent="0.25">
      <c r="A296" s="18" t="s">
        <v>292</v>
      </c>
      <c r="B296" s="23" t="s">
        <v>37</v>
      </c>
      <c r="C296" s="20" t="s">
        <v>17</v>
      </c>
      <c r="D296" s="21">
        <f>D293*1.2</f>
        <v>3.4560000000000004</v>
      </c>
    </row>
    <row r="297" spans="1:6" ht="30" x14ac:dyDescent="0.25">
      <c r="A297" s="18" t="s">
        <v>449</v>
      </c>
      <c r="B297" s="30" t="s">
        <v>203</v>
      </c>
      <c r="C297" s="15" t="s">
        <v>8</v>
      </c>
      <c r="D297" s="26">
        <f>D288</f>
        <v>31.799999999999997</v>
      </c>
    </row>
    <row r="298" spans="1:6" ht="17.25" customHeight="1" x14ac:dyDescent="0.25">
      <c r="A298" s="11" t="s">
        <v>450</v>
      </c>
      <c r="B298" s="11"/>
      <c r="C298" s="11"/>
      <c r="D298" s="11"/>
      <c r="F298" s="8"/>
    </row>
    <row r="299" spans="1:6" ht="30" x14ac:dyDescent="0.25">
      <c r="A299" s="18">
        <v>139</v>
      </c>
      <c r="B299" s="30" t="s">
        <v>159</v>
      </c>
      <c r="C299" s="15" t="s">
        <v>8</v>
      </c>
      <c r="D299" s="26">
        <f>17*4</f>
        <v>68</v>
      </c>
    </row>
    <row r="300" spans="1:6" x14ac:dyDescent="0.25">
      <c r="A300" s="18">
        <v>140</v>
      </c>
      <c r="B300" s="30" t="s">
        <v>160</v>
      </c>
      <c r="C300" s="20" t="s">
        <v>17</v>
      </c>
      <c r="D300" s="26">
        <f>17*0.2</f>
        <v>3.4000000000000004</v>
      </c>
    </row>
    <row r="301" spans="1:6" ht="30" x14ac:dyDescent="0.25">
      <c r="A301" s="18">
        <v>141</v>
      </c>
      <c r="B301" s="19" t="s">
        <v>22</v>
      </c>
      <c r="C301" s="20" t="s">
        <v>17</v>
      </c>
      <c r="D301" s="21">
        <f>D300</f>
        <v>3.4000000000000004</v>
      </c>
    </row>
    <row r="302" spans="1:6" x14ac:dyDescent="0.25">
      <c r="A302" s="18" t="s">
        <v>293</v>
      </c>
      <c r="B302" s="23" t="s">
        <v>23</v>
      </c>
      <c r="C302" s="20" t="s">
        <v>4</v>
      </c>
      <c r="D302" s="17">
        <f>ROUND(D301*30/25,0)</f>
        <v>4</v>
      </c>
    </row>
    <row r="303" spans="1:6" ht="60" x14ac:dyDescent="0.25">
      <c r="A303" s="18" t="s">
        <v>451</v>
      </c>
      <c r="B303" s="19" t="s">
        <v>215</v>
      </c>
      <c r="C303" s="20" t="s">
        <v>17</v>
      </c>
      <c r="D303" s="21">
        <f>D301+17*0.12</f>
        <v>5.44</v>
      </c>
    </row>
    <row r="304" spans="1:6" x14ac:dyDescent="0.25">
      <c r="A304" s="18" t="s">
        <v>204</v>
      </c>
      <c r="B304" s="23" t="s">
        <v>161</v>
      </c>
      <c r="C304" s="20" t="s">
        <v>17</v>
      </c>
      <c r="D304" s="21">
        <f>D303*1.2</f>
        <v>6.5280000000000005</v>
      </c>
    </row>
    <row r="305" spans="1:6" x14ac:dyDescent="0.25">
      <c r="A305" s="18" t="s">
        <v>294</v>
      </c>
      <c r="B305" s="23" t="s">
        <v>35</v>
      </c>
      <c r="C305" s="20" t="s">
        <v>4</v>
      </c>
      <c r="D305" s="17">
        <f>ROUND(D303*13/25,0)</f>
        <v>3</v>
      </c>
    </row>
    <row r="306" spans="1:6" ht="30" x14ac:dyDescent="0.25">
      <c r="A306" s="18" t="s">
        <v>295</v>
      </c>
      <c r="B306" s="23" t="s">
        <v>37</v>
      </c>
      <c r="C306" s="20" t="s">
        <v>17</v>
      </c>
      <c r="D306" s="21">
        <f>D303*1.2</f>
        <v>6.5280000000000005</v>
      </c>
    </row>
    <row r="307" spans="1:6" ht="30" x14ac:dyDescent="0.25">
      <c r="A307" s="18" t="s">
        <v>452</v>
      </c>
      <c r="B307" s="30" t="s">
        <v>203</v>
      </c>
      <c r="C307" s="15" t="s">
        <v>8</v>
      </c>
      <c r="D307" s="26">
        <f>D299</f>
        <v>68</v>
      </c>
    </row>
    <row r="308" spans="1:6" ht="15" customHeight="1" x14ac:dyDescent="0.25">
      <c r="A308" s="11" t="s">
        <v>453</v>
      </c>
      <c r="B308" s="11"/>
      <c r="C308" s="11"/>
      <c r="D308" s="11"/>
      <c r="F308" s="8"/>
    </row>
    <row r="309" spans="1:6" x14ac:dyDescent="0.25">
      <c r="A309" s="18" t="s">
        <v>454</v>
      </c>
      <c r="B309" s="30" t="s">
        <v>205</v>
      </c>
      <c r="C309" s="20" t="s">
        <v>17</v>
      </c>
      <c r="D309" s="26">
        <f>20*6</f>
        <v>120</v>
      </c>
    </row>
    <row r="310" spans="1:6" ht="30" x14ac:dyDescent="0.25">
      <c r="A310" s="18" t="s">
        <v>455</v>
      </c>
      <c r="B310" s="32" t="s">
        <v>159</v>
      </c>
      <c r="C310" s="15" t="s">
        <v>8</v>
      </c>
      <c r="D310" s="26">
        <f>20*4</f>
        <v>80</v>
      </c>
    </row>
    <row r="311" spans="1:6" x14ac:dyDescent="0.25">
      <c r="A311" s="18" t="s">
        <v>456</v>
      </c>
      <c r="B311" s="32" t="s">
        <v>160</v>
      </c>
      <c r="C311" s="20" t="s">
        <v>17</v>
      </c>
      <c r="D311" s="26">
        <f>20*0.35</f>
        <v>7</v>
      </c>
    </row>
    <row r="312" spans="1:6" ht="30" x14ac:dyDescent="0.25">
      <c r="A312" s="18" t="s">
        <v>457</v>
      </c>
      <c r="B312" s="19" t="s">
        <v>22</v>
      </c>
      <c r="C312" s="20" t="s">
        <v>17</v>
      </c>
      <c r="D312" s="21">
        <f>D311</f>
        <v>7</v>
      </c>
    </row>
    <row r="313" spans="1:6" x14ac:dyDescent="0.25">
      <c r="A313" s="18" t="s">
        <v>296</v>
      </c>
      <c r="B313" s="23" t="s">
        <v>23</v>
      </c>
      <c r="C313" s="20" t="s">
        <v>4</v>
      </c>
      <c r="D313" s="17">
        <f>ROUND(D312*30/25,0)</f>
        <v>8</v>
      </c>
    </row>
    <row r="314" spans="1:6" ht="60" x14ac:dyDescent="0.25">
      <c r="A314" s="18" t="s">
        <v>458</v>
      </c>
      <c r="B314" s="19" t="s">
        <v>216</v>
      </c>
      <c r="C314" s="20" t="s">
        <v>17</v>
      </c>
      <c r="D314" s="21">
        <f>D312+20*0.12</f>
        <v>9.4</v>
      </c>
    </row>
    <row r="315" spans="1:6" x14ac:dyDescent="0.25">
      <c r="A315" s="18" t="s">
        <v>206</v>
      </c>
      <c r="B315" s="23" t="s">
        <v>161</v>
      </c>
      <c r="C315" s="20" t="s">
        <v>17</v>
      </c>
      <c r="D315" s="21">
        <f>D314*1.2</f>
        <v>11.28</v>
      </c>
    </row>
    <row r="316" spans="1:6" x14ac:dyDescent="0.25">
      <c r="A316" s="18" t="s">
        <v>297</v>
      </c>
      <c r="B316" s="23" t="s">
        <v>35</v>
      </c>
      <c r="C316" s="20" t="s">
        <v>4</v>
      </c>
      <c r="D316" s="17">
        <f>ROUND(D314*13/25,0)</f>
        <v>5</v>
      </c>
    </row>
    <row r="317" spans="1:6" ht="30" x14ac:dyDescent="0.25">
      <c r="A317" s="18" t="s">
        <v>298</v>
      </c>
      <c r="B317" s="23" t="s">
        <v>37</v>
      </c>
      <c r="C317" s="20" t="s">
        <v>17</v>
      </c>
      <c r="D317" s="21">
        <f>D314*1.2</f>
        <v>11.28</v>
      </c>
    </row>
    <row r="318" spans="1:6" ht="30" x14ac:dyDescent="0.25">
      <c r="A318" s="18" t="s">
        <v>459</v>
      </c>
      <c r="B318" s="30" t="s">
        <v>203</v>
      </c>
      <c r="C318" s="15" t="s">
        <v>8</v>
      </c>
      <c r="D318" s="26">
        <f>D310</f>
        <v>80</v>
      </c>
    </row>
    <row r="319" spans="1:6" ht="15.75" customHeight="1" x14ac:dyDescent="0.25">
      <c r="A319" s="11" t="s">
        <v>460</v>
      </c>
      <c r="B319" s="11"/>
      <c r="C319" s="11"/>
      <c r="D319" s="11"/>
      <c r="E319" s="10"/>
      <c r="F319" s="8"/>
    </row>
    <row r="320" spans="1:6" ht="75" x14ac:dyDescent="0.25">
      <c r="A320" s="18" t="s">
        <v>461</v>
      </c>
      <c r="B320" s="19" t="s">
        <v>207</v>
      </c>
      <c r="C320" s="20" t="s">
        <v>4</v>
      </c>
      <c r="D320" s="17">
        <v>2</v>
      </c>
    </row>
    <row r="321" spans="1:5" ht="17.25" customHeight="1" x14ac:dyDescent="0.25">
      <c r="A321" s="11" t="s">
        <v>462</v>
      </c>
      <c r="B321" s="11"/>
      <c r="C321" s="11"/>
      <c r="D321" s="11"/>
    </row>
    <row r="322" spans="1:5" ht="60" x14ac:dyDescent="0.25">
      <c r="A322" s="18" t="s">
        <v>463</v>
      </c>
      <c r="B322" s="19" t="s">
        <v>208</v>
      </c>
      <c r="C322" s="20" t="s">
        <v>4</v>
      </c>
      <c r="D322" s="17">
        <v>1</v>
      </c>
    </row>
    <row r="323" spans="1:5" ht="105" x14ac:dyDescent="0.25">
      <c r="A323" s="18" t="s">
        <v>464</v>
      </c>
      <c r="B323" s="30" t="s">
        <v>209</v>
      </c>
      <c r="C323" s="15" t="s">
        <v>8</v>
      </c>
      <c r="D323" s="26">
        <f>0.5+4.5+3.5+0.5</f>
        <v>9</v>
      </c>
    </row>
    <row r="324" spans="1:5" ht="75" x14ac:dyDescent="0.25">
      <c r="A324" s="18" t="s">
        <v>465</v>
      </c>
      <c r="B324" s="30" t="s">
        <v>302</v>
      </c>
      <c r="C324" s="20" t="s">
        <v>17</v>
      </c>
      <c r="D324" s="26">
        <f>D323*0.5</f>
        <v>4.5</v>
      </c>
    </row>
    <row r="325" spans="1:5" ht="16.5" customHeight="1" x14ac:dyDescent="0.25">
      <c r="A325" s="11" t="s">
        <v>466</v>
      </c>
      <c r="B325" s="11"/>
      <c r="C325" s="11"/>
      <c r="D325" s="11"/>
    </row>
    <row r="326" spans="1:5" ht="30" x14ac:dyDescent="0.25">
      <c r="A326" s="18" t="s">
        <v>467</v>
      </c>
      <c r="B326" s="19" t="s">
        <v>210</v>
      </c>
      <c r="C326" s="15" t="s">
        <v>8</v>
      </c>
      <c r="D326" s="26">
        <f>(5.5*2+4.2+2.6+3)+(2*1.5+3+1.5+4.2)</f>
        <v>32.5</v>
      </c>
    </row>
    <row r="327" spans="1:5" ht="45" x14ac:dyDescent="0.25">
      <c r="A327" s="18" t="s">
        <v>468</v>
      </c>
      <c r="B327" s="19" t="s">
        <v>211</v>
      </c>
      <c r="C327" s="15" t="s">
        <v>8</v>
      </c>
      <c r="D327" s="26">
        <f>D326</f>
        <v>32.5</v>
      </c>
    </row>
    <row r="328" spans="1:5" ht="15" customHeight="1" x14ac:dyDescent="0.25">
      <c r="A328" s="11" t="s">
        <v>469</v>
      </c>
      <c r="B328" s="11"/>
      <c r="C328" s="11"/>
      <c r="D328" s="11"/>
    </row>
    <row r="329" spans="1:5" ht="30" x14ac:dyDescent="0.25">
      <c r="A329" s="18" t="s">
        <v>470</v>
      </c>
      <c r="B329" s="19" t="s">
        <v>212</v>
      </c>
      <c r="C329" s="15" t="s">
        <v>4</v>
      </c>
      <c r="D329" s="28">
        <v>2</v>
      </c>
    </row>
    <row r="330" spans="1:5" ht="30" x14ac:dyDescent="0.25">
      <c r="A330" s="18" t="s">
        <v>471</v>
      </c>
      <c r="B330" s="19" t="s">
        <v>213</v>
      </c>
      <c r="C330" s="15" t="s">
        <v>4</v>
      </c>
      <c r="D330" s="28">
        <v>2</v>
      </c>
    </row>
    <row r="331" spans="1:5" ht="15.75" customHeight="1" x14ac:dyDescent="0.25">
      <c r="A331" s="11" t="s">
        <v>472</v>
      </c>
      <c r="B331" s="11"/>
      <c r="C331" s="11"/>
      <c r="D331" s="11"/>
      <c r="E331" s="10"/>
    </row>
    <row r="332" spans="1:5" ht="30" x14ac:dyDescent="0.25">
      <c r="A332" s="18" t="s">
        <v>473</v>
      </c>
      <c r="B332" s="19" t="s">
        <v>300</v>
      </c>
      <c r="C332" s="15" t="s">
        <v>301</v>
      </c>
      <c r="D332" s="28">
        <v>8</v>
      </c>
    </row>
  </sheetData>
  <mergeCells count="26">
    <mergeCell ref="A331:D331"/>
    <mergeCell ref="A61:D61"/>
    <mergeCell ref="A308:D308"/>
    <mergeCell ref="A319:D319"/>
    <mergeCell ref="A321:D321"/>
    <mergeCell ref="A325:D325"/>
    <mergeCell ref="A328:D328"/>
    <mergeCell ref="A218:D218"/>
    <mergeCell ref="A261:D261"/>
    <mergeCell ref="A263:D263"/>
    <mergeCell ref="A287:D287"/>
    <mergeCell ref="A298:D298"/>
    <mergeCell ref="A41:D41"/>
    <mergeCell ref="A75:D75"/>
    <mergeCell ref="A78:D78"/>
    <mergeCell ref="A125:D125"/>
    <mergeCell ref="A173:D173"/>
    <mergeCell ref="B1:C1"/>
    <mergeCell ref="A17:D17"/>
    <mergeCell ref="A11:D11"/>
    <mergeCell ref="A31:D31"/>
    <mergeCell ref="A7:A8"/>
    <mergeCell ref="B7:B8"/>
    <mergeCell ref="C7:C8"/>
    <mergeCell ref="D7:D8"/>
    <mergeCell ref="A2:I2"/>
  </mergeCells>
  <phoneticPr fontId="3" type="noConversion"/>
  <conditionalFormatting sqref="C12:C16">
    <cfRule type="cellIs" dxfId="1" priority="1" stopIfTrue="1" operator="equal">
      <formula>0</formula>
    </cfRule>
    <cfRule type="expression" dxfId="0" priority="2" stopIfTrue="1">
      <formula>#N/A</formula>
    </cfRule>
  </conditionalFormatting>
  <pageMargins left="0.70866141732283472" right="0.70866141732283472" top="0.74803149606299213" bottom="0.74803149606299213" header="0.31496062992125984" footer="0.31496062992125984"/>
  <pageSetup scale="85" orientation="landscape" horizontalDpi="4294967295" verticalDpi="4294967295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Energoefektivitāte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Egils Jansons</dc:creator>
  <cp:lastModifiedBy>Antra Medne</cp:lastModifiedBy>
  <cp:lastPrinted>2024-11-07T20:13:57Z</cp:lastPrinted>
  <dcterms:created xsi:type="dcterms:W3CDTF">2015-06-05T18:19:34Z</dcterms:created>
  <dcterms:modified xsi:type="dcterms:W3CDTF">2026-06-08T14:09:48Z</dcterms:modified>
</cp:coreProperties>
</file>